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mc:AlternateContent xmlns:mc="http://schemas.openxmlformats.org/markup-compatibility/2006">
    <mc:Choice Requires="x15">
      <x15ac:absPath xmlns:x15ac="http://schemas.microsoft.com/office/spreadsheetml/2010/11/ac" url="F:\BOARD\Finance Committee\2026\092026 Finance Committee\"/>
    </mc:Choice>
  </mc:AlternateContent>
  <xr:revisionPtr revIDLastSave="0" documentId="8_{93B06D49-B123-495B-B11E-1B3A24E5E4A8}" xr6:coauthVersionLast="47" xr6:coauthVersionMax="47" xr10:uidLastSave="{00000000-0000-0000-0000-000000000000}"/>
  <bookViews>
    <workbookView xWindow="38290" yWindow="-110" windowWidth="19420" windowHeight="10300" tabRatio="753" firstSheet="9" activeTab="9" xr2:uid="{00000000-000D-0000-FFFF-FFFF00000000}"/>
  </bookViews>
  <sheets>
    <sheet name="Title Page" sheetId="1" state="hidden" r:id="rId1"/>
    <sheet name="About This File" sheetId="3" state="hidden" r:id="rId2"/>
    <sheet name="C.I.A." sheetId="5" state="hidden" r:id="rId3"/>
    <sheet name="C.I.B." sheetId="6" state="hidden" r:id="rId4"/>
    <sheet name="C.I.C." sheetId="7" state="hidden" r:id="rId5"/>
    <sheet name="C.I.E." sheetId="41" state="hidden" r:id="rId6"/>
    <sheet name="C.I.E. Crosswalk" sheetId="42" state="hidden" r:id="rId7"/>
    <sheet name="Cost Analysis" sheetId="43" state="hidden" r:id="rId8"/>
    <sheet name="C.II.B." sheetId="29" state="hidden" r:id="rId9"/>
    <sheet name="C.II.A." sheetId="28" r:id="rId10"/>
    <sheet name="C.II.C." sheetId="30" state="hidden" r:id="rId11"/>
    <sheet name="C.III" sheetId="31" state="hidden" r:id="rId12"/>
    <sheet name="C.IV" sheetId="35" state="hidden" r:id="rId13"/>
    <sheet name="C.V" sheetId="44" state="hidden" r:id="rId14"/>
    <sheet name="Attachments" sheetId="40" state="hidden" r:id="rId15"/>
  </sheets>
  <externalReferences>
    <externalReference r:id="rId16"/>
  </externalReferences>
  <definedNames>
    <definedName name="C.I.A." localSheetId="14">#REF!</definedName>
    <definedName name="C.I.A." localSheetId="10">#REF!</definedName>
    <definedName name="C.I.A." localSheetId="11">#REF!</definedName>
    <definedName name="C.I.A." localSheetId="12">#REF!</definedName>
    <definedName name="C.I.A.">'C.I.A.'!$A$3</definedName>
    <definedName name="C.I.B." localSheetId="14">#REF!</definedName>
    <definedName name="C.I.B." localSheetId="10">#REF!</definedName>
    <definedName name="C.I.B." localSheetId="11">#REF!</definedName>
    <definedName name="C.I.B." localSheetId="12">#REF!</definedName>
    <definedName name="C.I.B.">'C.I.B.'!$A$3</definedName>
    <definedName name="C.II.A." localSheetId="14">#REF!</definedName>
    <definedName name="C.II.A." localSheetId="10">#REF!</definedName>
    <definedName name="C.II.A." localSheetId="11">#REF!</definedName>
    <definedName name="C.II.A." localSheetId="12">#REF!</definedName>
    <definedName name="C.II.A.">'C.II.A.'!$A$3</definedName>
    <definedName name="C.IV.A.1" localSheetId="14">'C.IV'!$A$3</definedName>
    <definedName name="C.IV.A.1" localSheetId="12">'C.IV'!$A$3</definedName>
    <definedName name="C.IV.A.1">#REF!</definedName>
    <definedName name="C.IV.B." localSheetId="14">#REF!</definedName>
    <definedName name="C.IV.B." localSheetId="12">#REF!</definedName>
    <definedName name="C.IV.B.">#REF!</definedName>
    <definedName name="C.V.A." localSheetId="14">#REF!</definedName>
    <definedName name="C.V.A." localSheetId="12">#REF!</definedName>
    <definedName name="C.V.A.">#REF!</definedName>
    <definedName name="C.VI.A.2" localSheetId="14">#REF!</definedName>
    <definedName name="C.VI.A.2" localSheetId="10">#REF!</definedName>
    <definedName name="C.VI.A.2" localSheetId="11">#REF!</definedName>
    <definedName name="C.VI.A.2" localSheetId="12">#REF!</definedName>
    <definedName name="C.VI.A.2">#REF!</definedName>
    <definedName name="C.VI.A.3" localSheetId="14">#REF!</definedName>
    <definedName name="C.VI.A.3" localSheetId="10">#REF!</definedName>
    <definedName name="C.VI.A.3" localSheetId="11">#REF!</definedName>
    <definedName name="C.VI.A.3" localSheetId="12">#REF!</definedName>
    <definedName name="C.VI.A.3">#REF!</definedName>
    <definedName name="C.VII.A" localSheetId="14">#REF!</definedName>
    <definedName name="C.VII.A" localSheetId="10">#REF!</definedName>
    <definedName name="C.VII.A" localSheetId="11">#REF!</definedName>
    <definedName name="C.VII.A" localSheetId="12">#REF!</definedName>
    <definedName name="C.VII.A">#REF!</definedName>
    <definedName name="Certification" localSheetId="14">#REF!</definedName>
    <definedName name="Certification" localSheetId="10">#REF!</definedName>
    <definedName name="Certification" localSheetId="11">#REF!</definedName>
    <definedName name="Certification" localSheetId="12">#REF!</definedName>
    <definedName name="Certification">#REF!</definedName>
    <definedName name="General" localSheetId="1">'About This File'!$A$18</definedName>
    <definedName name="_xlnm.Print_Area" localSheetId="1">'About This File'!$A$1:$A$23</definedName>
    <definedName name="_xlnm.Print_Area" localSheetId="14">Attachments!$A$1:$B$31</definedName>
    <definedName name="_xlnm.Print_Area" localSheetId="2">'C.I.A.'!$A$1:$L$49</definedName>
    <definedName name="_xlnm.Print_Area" localSheetId="3">'C.I.B.'!$A$1:$F$35</definedName>
    <definedName name="_xlnm.Print_Area" localSheetId="4">'C.I.C.'!$A$1:$H$6</definedName>
    <definedName name="_xlnm.Print_Area" localSheetId="5">'C.I.E.'!$A$1:$I$9</definedName>
    <definedName name="_xlnm.Print_Area" localSheetId="9">'C.II.A.'!$A$1:$X$199</definedName>
    <definedName name="_xlnm.Print_Area" localSheetId="8">'C.II.B.'!$A$1:$K$52</definedName>
    <definedName name="_xlnm.Print_Area" localSheetId="10">'C.II.C.'!$A$1:$F$38</definedName>
    <definedName name="_xlnm.Print_Area" localSheetId="11">'C.III'!$A$1:$D$48</definedName>
    <definedName name="_xlnm.Print_Area" localSheetId="12">'C.IV'!$A$1:$AM$36</definedName>
    <definedName name="_xlnm.Print_Area" localSheetId="0">'Title Page'!$A$1:$I$35</definedName>
    <definedName name="_xlnm.Print_Titles" localSheetId="14">Attachments!$8:$8</definedName>
    <definedName name="_xlnm.Print_Titles" localSheetId="9">'C.II.A.'!$3:$5</definedName>
    <definedName name="_xlnm.Print_Titles" localSheetId="10">'C.II.C.'!$7:$7</definedName>
    <definedName name="_xlnm.Print_Titles" localSheetId="11">'C.III'!$7:$7</definedName>
    <definedName name="_xlnm.Print_Titles" localSheetId="12">'C.IV'!#REF!</definedName>
    <definedName name="Z_141D05B7_EC03_4D54_B355_18B30B95005C_.wvu.PrintArea" localSheetId="2" hidden="1">'C.I.A.'!$A$1:$L$48</definedName>
    <definedName name="Z_141D05B7_EC03_4D54_B355_18B30B95005C_.wvu.PrintArea" localSheetId="8" hidden="1">'C.II.B.'!$A$1:$K$52</definedName>
    <definedName name="Z_141D05B7_EC03_4D54_B355_18B30B95005C_.wvu.PrintTitles" localSheetId="9" hidden="1">'C.II.A.'!$3:$5</definedName>
    <definedName name="Z_141D05B7_EC03_4D54_B355_18B30B95005C_.wvu.Rows" localSheetId="0" hidden="1">'Title Page'!$7:$7</definedName>
    <definedName name="Z_9D049D41_B99B_4004_9128_98F3E5E97A8B_.wvu.PrintArea" localSheetId="2" hidden="1">'C.I.A.'!$A$1:$L$48</definedName>
    <definedName name="Z_9D049D41_B99B_4004_9128_98F3E5E97A8B_.wvu.PrintArea" localSheetId="5" hidden="1">'C.I.E.'!$A$1:$I$9</definedName>
    <definedName name="Z_9D049D41_B99B_4004_9128_98F3E5E97A8B_.wvu.PrintArea" localSheetId="8" hidden="1">'C.II.B.'!$A$1:$K$52</definedName>
    <definedName name="Z_9D049D41_B99B_4004_9128_98F3E5E97A8B_.wvu.PrintTitles" localSheetId="9" hidden="1">'C.II.A.'!$3:$5</definedName>
    <definedName name="Z_9D049D41_B99B_4004_9128_98F3E5E97A8B_.wvu.Rows" localSheetId="0" hidden="1">'Title Page'!$7:$7</definedName>
    <definedName name="Z_A45301F6_E16E_4871_906F_351D37BA74FF_.wvu.PrintArea" localSheetId="5" hidden="1">'C.I.E.'!$A$1:$I$9</definedName>
    <definedName name="Z_A726E5B8_85D2_4D63_83DC_0F3E78845E2A_.wvu.PrintTitles" localSheetId="14" hidden="1">Attachments!$8:$8</definedName>
    <definedName name="Z_A726E5B8_85D2_4D63_83DC_0F3E78845E2A_.wvu.PrintTitles" localSheetId="10" hidden="1">'C.II.C.'!$7:$7</definedName>
    <definedName name="Z_A726E5B8_85D2_4D63_83DC_0F3E78845E2A_.wvu.PrintTitles" localSheetId="11" hidden="1">'C.III'!$7:$7</definedName>
    <definedName name="Z_A726E5B8_85D2_4D63_83DC_0F3E78845E2A_.wvu.PrintTitles" localSheetId="12" hidden="1">'C.IV'!#REF!</definedName>
    <definedName name="Z_A726E5B8_85D2_4D63_83DC_0F3E78845E2A_.wvu.Rows" localSheetId="12" hidden="1">'C.IV'!#REF!</definedName>
    <definedName name="Z_CEFC3AD9_54AB_4624_B365_547C7DFA3667_.wvu.PrintTitles" localSheetId="14" hidden="1">Attachments!$8:$8</definedName>
    <definedName name="Z_CEFC3AD9_54AB_4624_B365_547C7DFA3667_.wvu.PrintTitles" localSheetId="10" hidden="1">'C.II.C.'!$7:$7</definedName>
    <definedName name="Z_CEFC3AD9_54AB_4624_B365_547C7DFA3667_.wvu.PrintTitles" localSheetId="11" hidden="1">'C.III'!$7:$7</definedName>
    <definedName name="Z_CEFC3AD9_54AB_4624_B365_547C7DFA3667_.wvu.PrintTitles" localSheetId="12" hidden="1">'C.IV'!#REF!</definedName>
    <definedName name="Z_CEFC3AD9_54AB_4624_B365_547C7DFA3667_.wvu.Rows" localSheetId="12" hidden="1">'C.IV'!#REF!</definedName>
  </definedNames>
  <calcPr calcId="191028"/>
  <customWorkbookViews>
    <customWorkbookView name="Jeffrey Johnson - Personal View" guid="{141D05B7-EC03-4D54-B355-18B30B95005C}" mergeInterval="0" personalView="1" maximized="1" xWindow="-8" yWindow="-8" windowWidth="1696" windowHeight="1026" tabRatio="994" activeSheetId="2"/>
    <customWorkbookView name="Lisa Murray - Personal View" guid="{9D049D41-B99B-4004-9128-98F3E5E97A8B}" mergeInterval="0" personalView="1" maximized="1" xWindow="-8" yWindow="32" windowWidth="1696" windowHeight="1026" tabRatio="99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238" i="28" l="1"/>
  <c r="BU239" i="28"/>
  <c r="BU238" i="28"/>
  <c r="BU237" i="28"/>
  <c r="BU230" i="28"/>
  <c r="J24" i="28" l="1"/>
  <c r="K24" i="28" s="1"/>
  <c r="Q24" i="28"/>
  <c r="R24" i="28" s="1"/>
  <c r="AD24" i="28"/>
  <c r="AE24" i="28"/>
  <c r="AG24" i="28"/>
  <c r="BV24" i="28"/>
  <c r="J25" i="28"/>
  <c r="Q25" i="28"/>
  <c r="R25" i="28"/>
  <c r="Z25" i="28"/>
  <c r="AA25" i="28"/>
  <c r="AD25" i="28" s="1"/>
  <c r="AB25" i="28"/>
  <c r="AE25" i="28" s="1"/>
  <c r="AG25" i="28"/>
  <c r="V25" i="28" s="1"/>
  <c r="BV25" i="28"/>
  <c r="J26" i="28"/>
  <c r="L26" i="28" s="1"/>
  <c r="Q26" i="28"/>
  <c r="R26" i="28" s="1"/>
  <c r="Z26" i="28"/>
  <c r="AA26" i="28"/>
  <c r="AD26" i="28" s="1"/>
  <c r="AB26" i="28"/>
  <c r="AE26" i="28" s="1"/>
  <c r="AG26" i="28"/>
  <c r="BT26" i="28"/>
  <c r="J27" i="28"/>
  <c r="L27" i="28" s="1"/>
  <c r="Q27" i="28"/>
  <c r="R27" i="28"/>
  <c r="Z27" i="28"/>
  <c r="AA27" i="28"/>
  <c r="AD27" i="28" s="1"/>
  <c r="AB27" i="28"/>
  <c r="AE27" i="28" s="1"/>
  <c r="AG27" i="28"/>
  <c r="BV27" i="28"/>
  <c r="J28" i="28"/>
  <c r="Q28" i="28"/>
  <c r="R28" i="28" s="1"/>
  <c r="Z28" i="28"/>
  <c r="AA28" i="28"/>
  <c r="AB28" i="28"/>
  <c r="AE28" i="28" s="1"/>
  <c r="AD28" i="28"/>
  <c r="AG28" i="28"/>
  <c r="BU28" i="28"/>
  <c r="BV28" i="28" s="1"/>
  <c r="AJ28" i="28" s="1"/>
  <c r="AI28" i="28" s="1"/>
  <c r="BW28" i="28" s="1"/>
  <c r="AA29" i="28"/>
  <c r="AD29" i="28" s="1"/>
  <c r="AB29" i="28"/>
  <c r="AE29" i="28" s="1"/>
  <c r="AG29" i="28"/>
  <c r="AJ29" i="28"/>
  <c r="AI29" i="28" s="1"/>
  <c r="BW29" i="28" s="1"/>
  <c r="BV29" i="28"/>
  <c r="J30" i="28"/>
  <c r="L30" i="28" s="1"/>
  <c r="W30" i="28"/>
  <c r="Q30" i="28" s="1"/>
  <c r="Z30" i="28"/>
  <c r="AA30" i="28"/>
  <c r="AD30" i="28" s="1"/>
  <c r="AB30" i="28"/>
  <c r="AE30" i="28" s="1"/>
  <c r="AG30" i="28"/>
  <c r="I30" i="28" s="1"/>
  <c r="BU30" i="28"/>
  <c r="J31" i="28"/>
  <c r="K31" i="28"/>
  <c r="L31" i="28"/>
  <c r="Q31" i="28"/>
  <c r="R31" i="28" s="1"/>
  <c r="Z31" i="28"/>
  <c r="AA31" i="28"/>
  <c r="AD31" i="28" s="1"/>
  <c r="AB31" i="28"/>
  <c r="AE31" i="28" s="1"/>
  <c r="AG31" i="28"/>
  <c r="BV31" i="28"/>
  <c r="J32" i="28"/>
  <c r="L32" i="28" s="1"/>
  <c r="K32" i="28"/>
  <c r="Q32" i="28"/>
  <c r="R32" i="28" s="1"/>
  <c r="AD32" i="28"/>
  <c r="AE32" i="28"/>
  <c r="AG32" i="28"/>
  <c r="BT32" i="28"/>
  <c r="BV32" i="28"/>
  <c r="J33" i="28"/>
  <c r="K33" i="28" s="1"/>
  <c r="Q33" i="28"/>
  <c r="Z33" i="28"/>
  <c r="AA33" i="28"/>
  <c r="AD33" i="28" s="1"/>
  <c r="AB33" i="28"/>
  <c r="AE33" i="28" s="1"/>
  <c r="AG33" i="28"/>
  <c r="BV33" i="28"/>
  <c r="J34" i="28"/>
  <c r="L34" i="28" s="1"/>
  <c r="Q34" i="28"/>
  <c r="R34" i="28"/>
  <c r="AD34" i="28"/>
  <c r="AE34" i="28"/>
  <c r="AG34" i="28"/>
  <c r="BV34" i="28"/>
  <c r="J35" i="28"/>
  <c r="K35" i="28" s="1"/>
  <c r="Q35" i="28"/>
  <c r="R35" i="28" s="1"/>
  <c r="Z35" i="28"/>
  <c r="AD35" i="28"/>
  <c r="AE35" i="28"/>
  <c r="AG35" i="28"/>
  <c r="BV35" i="28"/>
  <c r="J36" i="28"/>
  <c r="L36" i="28" s="1"/>
  <c r="K36" i="28"/>
  <c r="Q36" i="28"/>
  <c r="R36" i="28" s="1"/>
  <c r="Z36" i="28"/>
  <c r="AA36" i="28"/>
  <c r="AD36" i="28" s="1"/>
  <c r="AB36" i="28"/>
  <c r="AE36" i="28" s="1"/>
  <c r="AG36" i="28"/>
  <c r="BV36" i="28"/>
  <c r="J37" i="28"/>
  <c r="Q37" i="28"/>
  <c r="R37" i="28"/>
  <c r="Z37" i="28"/>
  <c r="BV37" i="28"/>
  <c r="J38" i="28"/>
  <c r="Q38" i="28"/>
  <c r="R38" i="28"/>
  <c r="Z38" i="28"/>
  <c r="AA38" i="28"/>
  <c r="AD38" i="28" s="1"/>
  <c r="AB38" i="28"/>
  <c r="AE38" i="28" s="1"/>
  <c r="AG38" i="28"/>
  <c r="BV38" i="28"/>
  <c r="J39" i="28"/>
  <c r="K39" i="28" s="1"/>
  <c r="Q39" i="28"/>
  <c r="R39" i="28"/>
  <c r="AD39" i="28"/>
  <c r="AE39" i="28"/>
  <c r="AG39" i="28"/>
  <c r="BV39" i="28"/>
  <c r="J40" i="28"/>
  <c r="K40" i="28" s="1"/>
  <c r="Q40" i="28"/>
  <c r="R40" i="28"/>
  <c r="Z40" i="28"/>
  <c r="AA40" i="28"/>
  <c r="AD40" i="28" s="1"/>
  <c r="AB40" i="28"/>
  <c r="AE40" i="28"/>
  <c r="AG40" i="28"/>
  <c r="I40" i="28" s="1"/>
  <c r="BV40" i="28"/>
  <c r="J41" i="28"/>
  <c r="L41" i="28" s="1"/>
  <c r="Q41" i="28"/>
  <c r="R41" i="28"/>
  <c r="Z41" i="28"/>
  <c r="AA41" i="28"/>
  <c r="AD41" i="28" s="1"/>
  <c r="AB41" i="28"/>
  <c r="AE41" i="28" s="1"/>
  <c r="AG41" i="28"/>
  <c r="BV41" i="28"/>
  <c r="J42" i="28"/>
  <c r="K42" i="28" s="1"/>
  <c r="Q42" i="28"/>
  <c r="Z42" i="28"/>
  <c r="AA42" i="28"/>
  <c r="AD42" i="28" s="1"/>
  <c r="AB42" i="28"/>
  <c r="AE42" i="28" s="1"/>
  <c r="AG42" i="28"/>
  <c r="I42" i="28" s="1"/>
  <c r="BV42" i="28"/>
  <c r="J43" i="28"/>
  <c r="K43" i="28" s="1"/>
  <c r="Q43" i="28"/>
  <c r="Z43" i="28"/>
  <c r="AA43" i="28"/>
  <c r="AD43" i="28" s="1"/>
  <c r="AB43" i="28"/>
  <c r="AE43" i="28" s="1"/>
  <c r="AG43" i="28"/>
  <c r="BV43" i="28"/>
  <c r="Z44" i="28"/>
  <c r="AA44" i="28"/>
  <c r="AD44" i="28" s="1"/>
  <c r="AB44" i="28"/>
  <c r="AE44" i="28"/>
  <c r="AG44" i="28"/>
  <c r="AJ44" i="28"/>
  <c r="AI44" i="28" s="1"/>
  <c r="BV44" i="28"/>
  <c r="J45" i="28"/>
  <c r="K45" i="28" s="1"/>
  <c r="Q45" i="28"/>
  <c r="R45" i="28" s="1"/>
  <c r="AD45" i="28"/>
  <c r="AE45" i="28"/>
  <c r="AG45" i="28"/>
  <c r="BV45" i="28"/>
  <c r="J46" i="28"/>
  <c r="K46" i="28" s="1"/>
  <c r="Q46" i="28"/>
  <c r="R46" i="28" s="1"/>
  <c r="Z46" i="28"/>
  <c r="AA46" i="28"/>
  <c r="AB46" i="28"/>
  <c r="AE46" i="28" s="1"/>
  <c r="AD46" i="28"/>
  <c r="AG46" i="28"/>
  <c r="I46" i="28" s="1"/>
  <c r="BV46" i="28"/>
  <c r="J47" i="28"/>
  <c r="I47" i="28" s="1"/>
  <c r="Q47" i="28"/>
  <c r="R47" i="28" s="1"/>
  <c r="AA47" i="28"/>
  <c r="AB47" i="28"/>
  <c r="AE47" i="28" s="1"/>
  <c r="BV47" i="28"/>
  <c r="Z48" i="28"/>
  <c r="AA48" i="28"/>
  <c r="AD48" i="28" s="1"/>
  <c r="AB48" i="28"/>
  <c r="AE48" i="28" s="1"/>
  <c r="AG48" i="28"/>
  <c r="AJ48" i="28"/>
  <c r="AI48" i="28" s="1"/>
  <c r="BV48" i="28"/>
  <c r="J49" i="28"/>
  <c r="K49" i="28" s="1"/>
  <c r="Q49" i="28"/>
  <c r="R49" i="28" s="1"/>
  <c r="Z49" i="28"/>
  <c r="AA49" i="28"/>
  <c r="AD49" i="28" s="1"/>
  <c r="AB49" i="28"/>
  <c r="AE49" i="28" s="1"/>
  <c r="AG49" i="28"/>
  <c r="BV49" i="28"/>
  <c r="J50" i="28"/>
  <c r="Q50" i="28"/>
  <c r="R50" i="28"/>
  <c r="AD50" i="28"/>
  <c r="AE50" i="28"/>
  <c r="AG50" i="28"/>
  <c r="BV50" i="28"/>
  <c r="J51" i="28"/>
  <c r="K51" i="28" s="1"/>
  <c r="L51" i="28"/>
  <c r="Q51" i="28"/>
  <c r="AD51" i="28"/>
  <c r="AE51" i="28"/>
  <c r="AG51" i="28"/>
  <c r="BV51" i="28"/>
  <c r="J52" i="28"/>
  <c r="L52" i="28" s="1"/>
  <c r="Q52" i="28"/>
  <c r="R52" i="28" s="1"/>
  <c r="AD52" i="28"/>
  <c r="AE52" i="28"/>
  <c r="AG52" i="28"/>
  <c r="BV52" i="28"/>
  <c r="AD53" i="28"/>
  <c r="AE53" i="28"/>
  <c r="AG53" i="28"/>
  <c r="AJ53" i="28"/>
  <c r="AI53" i="28" s="1"/>
  <c r="BV53" i="28"/>
  <c r="BW53" i="28"/>
  <c r="BX53" i="28"/>
  <c r="J54" i="28"/>
  <c r="K54" i="28" s="1"/>
  <c r="Q54" i="28"/>
  <c r="R54" i="28" s="1"/>
  <c r="Z54" i="28"/>
  <c r="AA54" i="28"/>
  <c r="AD54" i="28" s="1"/>
  <c r="AB54" i="28"/>
  <c r="AE54" i="28" s="1"/>
  <c r="AG54" i="28"/>
  <c r="BV54" i="28"/>
  <c r="J55" i="28"/>
  <c r="K55" i="28" s="1"/>
  <c r="Q55" i="28"/>
  <c r="R55" i="28" s="1"/>
  <c r="Z55" i="28"/>
  <c r="AA55" i="28"/>
  <c r="AB55" i="28"/>
  <c r="AG55" i="28"/>
  <c r="BV55" i="28"/>
  <c r="J56" i="28"/>
  <c r="K56" i="28" s="1"/>
  <c r="Q56" i="28"/>
  <c r="R56" i="28"/>
  <c r="Z56" i="28"/>
  <c r="AA56" i="28"/>
  <c r="AD56" i="28" s="1"/>
  <c r="AB56" i="28"/>
  <c r="AE56" i="28" s="1"/>
  <c r="AG56" i="28"/>
  <c r="BU56" i="28"/>
  <c r="BV56" i="28" s="1"/>
  <c r="J57" i="28"/>
  <c r="L57" i="28" s="1"/>
  <c r="Q57" i="28"/>
  <c r="R57" i="28"/>
  <c r="Z57" i="28"/>
  <c r="AA57" i="28"/>
  <c r="AD57" i="28" s="1"/>
  <c r="AB57" i="28"/>
  <c r="AE57" i="28" s="1"/>
  <c r="AG57" i="28"/>
  <c r="BV57" i="28"/>
  <c r="J58" i="28"/>
  <c r="L58" i="28" s="1"/>
  <c r="Q58" i="28"/>
  <c r="R58" i="28" s="1"/>
  <c r="Z58" i="28"/>
  <c r="AA58" i="28"/>
  <c r="AD58" i="28" s="1"/>
  <c r="AB58" i="28"/>
  <c r="AE58" i="28" s="1"/>
  <c r="AG58" i="28"/>
  <c r="BV58" i="28"/>
  <c r="J59" i="28"/>
  <c r="K59" i="28" s="1"/>
  <c r="Q59" i="28"/>
  <c r="R59" i="28"/>
  <c r="Z59" i="28"/>
  <c r="AA59" i="28"/>
  <c r="AD59" i="28" s="1"/>
  <c r="AB59" i="28"/>
  <c r="AE59" i="28" s="1"/>
  <c r="AG59" i="28"/>
  <c r="BV59" i="28"/>
  <c r="J60" i="28"/>
  <c r="K60" i="28" s="1"/>
  <c r="Q60" i="28"/>
  <c r="R60" i="28"/>
  <c r="Z60" i="28"/>
  <c r="AA60" i="28"/>
  <c r="AD60" i="28" s="1"/>
  <c r="AB60" i="28"/>
  <c r="AE60" i="28" s="1"/>
  <c r="AG60" i="28"/>
  <c r="I60" i="28" s="1"/>
  <c r="BT60" i="28"/>
  <c r="BU60" i="28"/>
  <c r="AJ61" i="28"/>
  <c r="AI61" i="28" s="1"/>
  <c r="BV61" i="28"/>
  <c r="Z62" i="28"/>
  <c r="AA62" i="28"/>
  <c r="AD62" i="28" s="1"/>
  <c r="AB62" i="28"/>
  <c r="AE62" i="28" s="1"/>
  <c r="AG62" i="28"/>
  <c r="AJ62" i="28"/>
  <c r="AI62" i="28" s="1"/>
  <c r="BV62" i="28"/>
  <c r="Z63" i="28"/>
  <c r="AA63" i="28"/>
  <c r="AD63" i="28" s="1"/>
  <c r="AB63" i="28"/>
  <c r="AE63" i="28" s="1"/>
  <c r="AG63" i="28"/>
  <c r="AJ63" i="28"/>
  <c r="AI63" i="28" s="1"/>
  <c r="BV63" i="28"/>
  <c r="J64" i="28"/>
  <c r="K64" i="28" s="1"/>
  <c r="L64" i="28"/>
  <c r="Q64" i="28"/>
  <c r="R64" i="28" s="1"/>
  <c r="Z64" i="28"/>
  <c r="AA64" i="28"/>
  <c r="AD64" i="28" s="1"/>
  <c r="AB64" i="28"/>
  <c r="AE64" i="28" s="1"/>
  <c r="AG64" i="28"/>
  <c r="BU64" i="28"/>
  <c r="BV64" i="28" s="1"/>
  <c r="J65" i="28"/>
  <c r="K65" i="28"/>
  <c r="L65" i="28"/>
  <c r="Q65" i="28"/>
  <c r="Z65" i="28"/>
  <c r="AA65" i="28"/>
  <c r="AD65" i="28" s="1"/>
  <c r="AB65" i="28"/>
  <c r="AE65" i="28" s="1"/>
  <c r="AG65" i="28"/>
  <c r="I65" i="28" s="1"/>
  <c r="BT65" i="28"/>
  <c r="BU65" i="28"/>
  <c r="J66" i="28"/>
  <c r="L66" i="28" s="1"/>
  <c r="Q66" i="28"/>
  <c r="R66" i="28" s="1"/>
  <c r="Z66" i="28"/>
  <c r="AA66" i="28"/>
  <c r="AD66" i="28" s="1"/>
  <c r="AB66" i="28"/>
  <c r="AE66" i="28" s="1"/>
  <c r="AG66" i="28"/>
  <c r="BU66" i="28"/>
  <c r="BV66" i="28"/>
  <c r="J67" i="28"/>
  <c r="K67" i="28"/>
  <c r="L67" i="28"/>
  <c r="Q67" i="28"/>
  <c r="R67" i="28" s="1"/>
  <c r="AA67" i="28"/>
  <c r="AD67" i="28" s="1"/>
  <c r="AB67" i="28"/>
  <c r="AE67" i="28" s="1"/>
  <c r="AG67" i="28"/>
  <c r="BV67" i="28"/>
  <c r="J68" i="28"/>
  <c r="K68" i="28" s="1"/>
  <c r="Q68" i="28"/>
  <c r="R68" i="28" s="1"/>
  <c r="AD68" i="28"/>
  <c r="AE68" i="28"/>
  <c r="AG68" i="28"/>
  <c r="BV68" i="28"/>
  <c r="J69" i="28"/>
  <c r="Q69" i="28"/>
  <c r="R69" i="28" s="1"/>
  <c r="AD69" i="28"/>
  <c r="AE69" i="28"/>
  <c r="AG69" i="28"/>
  <c r="I69" i="28" s="1"/>
  <c r="BT69" i="28"/>
  <c r="BU69" i="28"/>
  <c r="J70" i="28"/>
  <c r="K70" i="28" s="1"/>
  <c r="Q70" i="28"/>
  <c r="R70" i="28" s="1"/>
  <c r="AD70" i="28"/>
  <c r="AE70" i="28"/>
  <c r="AG70" i="28"/>
  <c r="BV70" i="28"/>
  <c r="Z71" i="28"/>
  <c r="AA71" i="28"/>
  <c r="AD71" i="28" s="1"/>
  <c r="AB71" i="28"/>
  <c r="AE71" i="28" s="1"/>
  <c r="AG71" i="28"/>
  <c r="AJ71" i="28"/>
  <c r="AI71" i="28" s="1"/>
  <c r="BW71" i="28" s="1"/>
  <c r="BV71" i="28"/>
  <c r="Z72" i="28"/>
  <c r="AA72" i="28"/>
  <c r="AB72" i="28"/>
  <c r="AD72" i="28"/>
  <c r="AE72" i="28"/>
  <c r="AG72" i="28"/>
  <c r="AJ72" i="28"/>
  <c r="AI72" i="28" s="1"/>
  <c r="BW72" i="28" s="1"/>
  <c r="BV72" i="28"/>
  <c r="J73" i="28"/>
  <c r="L73" i="28" s="1"/>
  <c r="Q73" i="28"/>
  <c r="R73" i="28" s="1"/>
  <c r="AA73" i="28"/>
  <c r="AD73" i="28" s="1"/>
  <c r="BV73" i="28"/>
  <c r="J74" i="28"/>
  <c r="K74" i="28"/>
  <c r="L74" i="28"/>
  <c r="Q74" i="28"/>
  <c r="Z74" i="28"/>
  <c r="AA74" i="28"/>
  <c r="AD74" i="28" s="1"/>
  <c r="AB74" i="28"/>
  <c r="AE74" i="28" s="1"/>
  <c r="AG74" i="28"/>
  <c r="BV74" i="28"/>
  <c r="J75" i="28"/>
  <c r="K75" i="28"/>
  <c r="L75" i="28"/>
  <c r="Q75" i="28"/>
  <c r="R75" i="28" s="1"/>
  <c r="Z75" i="28"/>
  <c r="AA75" i="28"/>
  <c r="AD75" i="28" s="1"/>
  <c r="AB75" i="28"/>
  <c r="AE75" i="28" s="1"/>
  <c r="AG75" i="28"/>
  <c r="BT75" i="28"/>
  <c r="BU75" i="28"/>
  <c r="BV75" i="28"/>
  <c r="J76" i="28"/>
  <c r="L76" i="28" s="1"/>
  <c r="Q76" i="28"/>
  <c r="R76" i="28"/>
  <c r="Z76" i="28"/>
  <c r="AA76" i="28"/>
  <c r="AD76" i="28" s="1"/>
  <c r="AB76" i="28"/>
  <c r="AE76" i="28" s="1"/>
  <c r="AG76" i="28"/>
  <c r="BV76" i="28"/>
  <c r="J77" i="28"/>
  <c r="K77" i="28" s="1"/>
  <c r="Q77" i="28"/>
  <c r="R77" i="28" s="1"/>
  <c r="Z77" i="28"/>
  <c r="AA77" i="28"/>
  <c r="AD77" i="28" s="1"/>
  <c r="AB77" i="28"/>
  <c r="AE77" i="28"/>
  <c r="AG77" i="28"/>
  <c r="BV77" i="28"/>
  <c r="AA78" i="28"/>
  <c r="AD78" i="28" s="1"/>
  <c r="AJ78" i="28"/>
  <c r="AI78" i="28" s="1"/>
  <c r="BW78" i="28" s="1"/>
  <c r="BV78" i="28"/>
  <c r="J79" i="28"/>
  <c r="L79" i="28" s="1"/>
  <c r="Q79" i="28"/>
  <c r="R79" i="28"/>
  <c r="Z79" i="28"/>
  <c r="AA79" i="28" a="1"/>
  <c r="AA79" i="28" s="1"/>
  <c r="AB79" i="28"/>
  <c r="AG79" i="28"/>
  <c r="BV79" i="28"/>
  <c r="J80" i="28"/>
  <c r="K80" i="28" s="1"/>
  <c r="Q80" i="28"/>
  <c r="R80" i="28" s="1"/>
  <c r="Z80" i="28"/>
  <c r="AA80" i="28"/>
  <c r="AD80" i="28" s="1"/>
  <c r="AB80" i="28"/>
  <c r="AE80" i="28" s="1"/>
  <c r="AG80" i="28"/>
  <c r="BU80" i="28"/>
  <c r="J81" i="28"/>
  <c r="L81" i="28" s="1"/>
  <c r="K81" i="28"/>
  <c r="Q81" i="28"/>
  <c r="R81" i="28"/>
  <c r="BV81" i="28"/>
  <c r="J82" i="28"/>
  <c r="I82" i="28" s="1"/>
  <c r="Q82" i="28"/>
  <c r="R82" i="28" s="1"/>
  <c r="Z82" i="28"/>
  <c r="AA82" i="28"/>
  <c r="AD82" i="28" s="1"/>
  <c r="AB82" i="28"/>
  <c r="AE82" i="28" s="1"/>
  <c r="BV82" i="28"/>
  <c r="Z83" i="28"/>
  <c r="AA83" i="28"/>
  <c r="AD83" i="28" s="1"/>
  <c r="AB83" i="28"/>
  <c r="AE83" i="28" s="1"/>
  <c r="AG83" i="28"/>
  <c r="AJ83" i="28"/>
  <c r="AI83" i="28" s="1"/>
  <c r="BW83" i="28" s="1"/>
  <c r="BV83" i="28"/>
  <c r="J84" i="28"/>
  <c r="K84" i="28" s="1"/>
  <c r="Q84" i="28"/>
  <c r="R84" i="28" s="1"/>
  <c r="BV84" i="28"/>
  <c r="J85" i="28"/>
  <c r="K85" i="28" s="1"/>
  <c r="L85" i="28"/>
  <c r="Q85" i="28"/>
  <c r="R85" i="28" s="1"/>
  <c r="Z85" i="28"/>
  <c r="AA85" i="28"/>
  <c r="AD85" i="28" s="1"/>
  <c r="AB85" i="28"/>
  <c r="AE85" i="28" s="1"/>
  <c r="AG85" i="28"/>
  <c r="I85" i="28" s="1"/>
  <c r="BV85" i="28"/>
  <c r="AG86" i="28"/>
  <c r="AJ86" i="28"/>
  <c r="AI86" i="28" s="1"/>
  <c r="BW86" i="28" s="1"/>
  <c r="BV86" i="28"/>
  <c r="Z87" i="28"/>
  <c r="AA87" i="28"/>
  <c r="AD87" i="28" s="1"/>
  <c r="AB87" i="28"/>
  <c r="AE87" i="28"/>
  <c r="AG87" i="28"/>
  <c r="AJ87" i="28"/>
  <c r="AI87" i="28" s="1"/>
  <c r="BV87" i="28"/>
  <c r="J88" i="28"/>
  <c r="K88" i="28" s="1"/>
  <c r="Q88" i="28"/>
  <c r="R88" i="28" s="1"/>
  <c r="AD88" i="28"/>
  <c r="AE88" i="28"/>
  <c r="AG88" i="28"/>
  <c r="BU88" i="28"/>
  <c r="BV88" i="28" s="1"/>
  <c r="J89" i="28"/>
  <c r="K89" i="28" s="1"/>
  <c r="Q89" i="28"/>
  <c r="R89" i="28" s="1"/>
  <c r="Z89" i="28"/>
  <c r="AA89" i="28"/>
  <c r="AD89" i="28" s="1"/>
  <c r="AB89" i="28"/>
  <c r="AE89" i="28"/>
  <c r="AG89" i="28"/>
  <c r="BT89" i="28"/>
  <c r="BU89" i="28"/>
  <c r="J90" i="28"/>
  <c r="K90" i="28" s="1"/>
  <c r="L90" i="28"/>
  <c r="Q90" i="28"/>
  <c r="R90" i="28" s="1"/>
  <c r="Z90" i="28"/>
  <c r="AA90" i="28"/>
  <c r="AD90" i="28" s="1"/>
  <c r="AB90" i="28"/>
  <c r="AE90" i="28" s="1"/>
  <c r="AG90" i="28"/>
  <c r="BV90" i="28"/>
  <c r="J91" i="28"/>
  <c r="L91" i="28" s="1"/>
  <c r="Q91" i="28"/>
  <c r="R91" i="28"/>
  <c r="Z91" i="28"/>
  <c r="AA91" i="28"/>
  <c r="AD91" i="28" s="1"/>
  <c r="AB91" i="28"/>
  <c r="AE91" i="28" s="1"/>
  <c r="AG91" i="28"/>
  <c r="BV91" i="28"/>
  <c r="J92" i="28"/>
  <c r="L92" i="28" s="1"/>
  <c r="K92" i="28"/>
  <c r="Q92" i="28"/>
  <c r="R92" i="28"/>
  <c r="Z92" i="28"/>
  <c r="AA92" i="28"/>
  <c r="AD92" i="28" s="1"/>
  <c r="AB92" i="28"/>
  <c r="AE92" i="28" s="1"/>
  <c r="AG92" i="28"/>
  <c r="BV92" i="28"/>
  <c r="AJ93" i="28"/>
  <c r="AI93" i="28" s="1"/>
  <c r="BV93" i="28"/>
  <c r="J94" i="28"/>
  <c r="I94" i="28" s="1"/>
  <c r="K94" i="28"/>
  <c r="Q94" i="28"/>
  <c r="BV94" i="28"/>
  <c r="Z95" i="28"/>
  <c r="AA95" i="28"/>
  <c r="AD95" i="28" s="1"/>
  <c r="AB95" i="28"/>
  <c r="AE95" i="28" s="1"/>
  <c r="AG95" i="28"/>
  <c r="AJ95" i="28"/>
  <c r="AI95" i="28" s="1"/>
  <c r="BX95" i="28" s="1"/>
  <c r="BV95" i="28"/>
  <c r="J96" i="28"/>
  <c r="L96" i="28" s="1"/>
  <c r="K96" i="28"/>
  <c r="Q96" i="28"/>
  <c r="R96" i="28" s="1"/>
  <c r="Z96" i="28"/>
  <c r="AA96" i="28"/>
  <c r="AB96" i="28"/>
  <c r="AE96" i="28" s="1"/>
  <c r="AD96" i="28"/>
  <c r="AG96" i="28"/>
  <c r="BV96" i="28"/>
  <c r="J97" i="28"/>
  <c r="L97" i="28" s="1"/>
  <c r="Q97" i="28"/>
  <c r="R97" i="28"/>
  <c r="Z97" i="28"/>
  <c r="AA97" i="28"/>
  <c r="AD97" i="28" s="1"/>
  <c r="AB97" i="28"/>
  <c r="AE97" i="28" s="1"/>
  <c r="AG97" i="28"/>
  <c r="BV97" i="28"/>
  <c r="J98" i="28"/>
  <c r="K98" i="28" s="1"/>
  <c r="Q98" i="28"/>
  <c r="Z98" i="28"/>
  <c r="AA98" i="28"/>
  <c r="AD98" i="28" s="1"/>
  <c r="AB98" i="28"/>
  <c r="AE98" i="28" s="1"/>
  <c r="AG98" i="28"/>
  <c r="BV98" i="28"/>
  <c r="J99" i="28"/>
  <c r="K99" i="28" s="1"/>
  <c r="Q99" i="28"/>
  <c r="R99" i="28" s="1"/>
  <c r="Z99" i="28"/>
  <c r="AA99" i="28"/>
  <c r="AD99" i="28" s="1"/>
  <c r="AB99" i="28"/>
  <c r="AE99" i="28" s="1"/>
  <c r="AG99" i="28"/>
  <c r="V99" i="28" s="1"/>
  <c r="BV99" i="28"/>
  <c r="J100" i="28"/>
  <c r="K100" i="28" s="1"/>
  <c r="L100" i="28"/>
  <c r="Q100" i="28"/>
  <c r="S100" i="28" s="1"/>
  <c r="Z100" i="28"/>
  <c r="AA100" i="28"/>
  <c r="AB100" i="28"/>
  <c r="AG100" i="28"/>
  <c r="BV100" i="28"/>
  <c r="J101" i="28"/>
  <c r="K101" i="28" s="1"/>
  <c r="Q101" i="28"/>
  <c r="R101" i="28"/>
  <c r="AD101" i="28"/>
  <c r="AE101" i="28"/>
  <c r="AG101" i="28"/>
  <c r="BV101" i="28"/>
  <c r="J102" i="28"/>
  <c r="K102" i="28" s="1"/>
  <c r="Q102" i="28"/>
  <c r="R102" i="28"/>
  <c r="Z102" i="28"/>
  <c r="AA102" i="28"/>
  <c r="AD102" i="28" s="1"/>
  <c r="AB102" i="28"/>
  <c r="AE102" i="28" s="1"/>
  <c r="AG102" i="28"/>
  <c r="BV102" i="28"/>
  <c r="J103" i="28"/>
  <c r="K103" i="28"/>
  <c r="L103" i="28"/>
  <c r="Q103" i="28"/>
  <c r="Z103" i="28"/>
  <c r="AA103" i="28"/>
  <c r="AD103" i="28" s="1"/>
  <c r="AB103" i="28"/>
  <c r="AE103" i="28" s="1"/>
  <c r="AG103" i="28"/>
  <c r="BV103" i="28"/>
  <c r="J104" i="28"/>
  <c r="K104" i="28" s="1"/>
  <c r="Q104" i="28"/>
  <c r="Z104" i="28"/>
  <c r="AA104" i="28"/>
  <c r="AD104" i="28" s="1"/>
  <c r="AB104" i="28"/>
  <c r="AE104" i="28"/>
  <c r="AF104" i="28"/>
  <c r="AG104" i="28"/>
  <c r="BV104" i="28"/>
  <c r="J105" i="28"/>
  <c r="K105" i="28" s="1"/>
  <c r="Q105" i="28"/>
  <c r="R105" i="28" s="1"/>
  <c r="Z105" i="28"/>
  <c r="AA105" i="28"/>
  <c r="AD105" i="28" s="1"/>
  <c r="AB105" i="28"/>
  <c r="AE105" i="28" s="1"/>
  <c r="AF105" i="28"/>
  <c r="AG105" i="28"/>
  <c r="BV105" i="28"/>
  <c r="J106" i="28"/>
  <c r="K106" i="28" s="1"/>
  <c r="Q106" i="28"/>
  <c r="R106" i="28" s="1"/>
  <c r="AD106" i="28"/>
  <c r="AE106" i="28"/>
  <c r="AF106" i="28"/>
  <c r="AG106" i="28"/>
  <c r="BV106" i="28"/>
  <c r="J107" i="28"/>
  <c r="K107" i="28" s="1"/>
  <c r="L107" i="28"/>
  <c r="Q107" i="28"/>
  <c r="R107" i="28" s="1"/>
  <c r="AD107" i="28"/>
  <c r="AE107" i="28"/>
  <c r="AG107" i="28"/>
  <c r="BV107" i="28"/>
  <c r="J108" i="28"/>
  <c r="K108" i="28" s="1"/>
  <c r="L108" i="28"/>
  <c r="Q108" i="28"/>
  <c r="R108" i="28" s="1"/>
  <c r="AD108" i="28"/>
  <c r="AG108" i="28"/>
  <c r="BV108" i="28"/>
  <c r="J109" i="28"/>
  <c r="Q109" i="28"/>
  <c r="R109" i="28"/>
  <c r="AD109" i="28"/>
  <c r="AG109" i="28"/>
  <c r="V109" i="28" s="1"/>
  <c r="BV109" i="28"/>
  <c r="J110" i="28"/>
  <c r="Q110" i="28"/>
  <c r="R110" i="28" s="1"/>
  <c r="AD110" i="28"/>
  <c r="AG110" i="28"/>
  <c r="BV110" i="28"/>
  <c r="B111" i="28"/>
  <c r="AA111" i="28" s="1"/>
  <c r="Z111" i="28"/>
  <c r="AB111" i="28"/>
  <c r="AG111" i="28"/>
  <c r="AJ111" i="28"/>
  <c r="AI111" i="28" s="1"/>
  <c r="BW111" i="28" s="1"/>
  <c r="BV111" i="28"/>
  <c r="AA112" i="28"/>
  <c r="AB112" i="28"/>
  <c r="AG112" i="28"/>
  <c r="AJ112" i="28"/>
  <c r="AI112" i="28" s="1"/>
  <c r="BV112" i="28"/>
  <c r="AA113" i="28"/>
  <c r="AB113" i="28"/>
  <c r="AJ113" i="28"/>
  <c r="AI113" i="28" s="1"/>
  <c r="BV113" i="28"/>
  <c r="BU114" i="28"/>
  <c r="BV114" i="28" s="1"/>
  <c r="BV115" i="28"/>
  <c r="AH116" i="28"/>
  <c r="AK116" i="28"/>
  <c r="AL116" i="28"/>
  <c r="AM116" i="28"/>
  <c r="AN116" i="28"/>
  <c r="AO116" i="28"/>
  <c r="AP116" i="28"/>
  <c r="AQ116" i="28"/>
  <c r="AR116" i="28"/>
  <c r="AS116" i="28"/>
  <c r="AT116" i="28"/>
  <c r="AU116" i="28"/>
  <c r="AV116" i="28"/>
  <c r="AW116" i="28"/>
  <c r="AX116" i="28"/>
  <c r="AY116" i="28"/>
  <c r="AY128" i="28" s="1"/>
  <c r="AZ116" i="28"/>
  <c r="BA116" i="28"/>
  <c r="BB116" i="28"/>
  <c r="BC116" i="28"/>
  <c r="BD116" i="28"/>
  <c r="BE116" i="28"/>
  <c r="BF116" i="28"/>
  <c r="BG116" i="28"/>
  <c r="BH116" i="28"/>
  <c r="BI116" i="28"/>
  <c r="BJ116" i="28"/>
  <c r="BK116" i="28"/>
  <c r="BL116" i="28"/>
  <c r="BM116" i="28"/>
  <c r="BN116" i="28"/>
  <c r="BO116" i="28"/>
  <c r="BO128" i="28" s="1"/>
  <c r="BP116" i="28"/>
  <c r="BQ116" i="28"/>
  <c r="BR116" i="28"/>
  <c r="BS116" i="28"/>
  <c r="AJ123" i="28" a="1"/>
  <c r="AJ123" i="28" s="1"/>
  <c r="AN123" i="28" a="1"/>
  <c r="AN123" i="28" s="1"/>
  <c r="AO123" i="28" a="1"/>
  <c r="AO123" i="28" s="1"/>
  <c r="AP123" i="28" a="1"/>
  <c r="AP123" i="28" s="1"/>
  <c r="AQ123" i="28" a="1"/>
  <c r="AQ123" i="28" s="1"/>
  <c r="AR123" i="28" a="1"/>
  <c r="AR123" i="28" s="1"/>
  <c r="AS123" i="28" a="1"/>
  <c r="AS123" i="28" s="1"/>
  <c r="AT123" i="28" a="1"/>
  <c r="AT123" i="28" s="1"/>
  <c r="AU123" i="28" a="1"/>
  <c r="AU123" i="28" s="1"/>
  <c r="AU132" i="28" s="1"/>
  <c r="AW125" i="28"/>
  <c r="AW134" i="28" s="1"/>
  <c r="AW170" i="28" s="1"/>
  <c r="BV126" i="28"/>
  <c r="BW126" i="28"/>
  <c r="AH127" i="28"/>
  <c r="AI127" i="28"/>
  <c r="AK127" i="28"/>
  <c r="AL127" i="28"/>
  <c r="AM127" i="28"/>
  <c r="AN127" i="28"/>
  <c r="AO127" i="28"/>
  <c r="AP127" i="28"/>
  <c r="AQ127" i="28"/>
  <c r="AR127" i="28"/>
  <c r="AS127" i="28"/>
  <c r="AT127" i="28"/>
  <c r="AU127" i="28"/>
  <c r="AV127" i="28"/>
  <c r="AW127" i="28"/>
  <c r="AX127" i="28"/>
  <c r="AX128" i="28" s="1"/>
  <c r="AY127" i="28"/>
  <c r="AZ127" i="28"/>
  <c r="BA127" i="28"/>
  <c r="BB127" i="28"/>
  <c r="BC127" i="28"/>
  <c r="BD127" i="28"/>
  <c r="BE127" i="28"/>
  <c r="BF127" i="28"/>
  <c r="BG127" i="28"/>
  <c r="BH127" i="28"/>
  <c r="BI127" i="28"/>
  <c r="BI128" i="28" s="1"/>
  <c r="BJ127" i="28"/>
  <c r="BK127" i="28"/>
  <c r="BL127" i="28"/>
  <c r="BM127" i="28"/>
  <c r="BN127" i="28"/>
  <c r="BO127" i="28"/>
  <c r="BP127" i="28"/>
  <c r="BQ127" i="28"/>
  <c r="BR127" i="28"/>
  <c r="BS127" i="28"/>
  <c r="BT127" i="28"/>
  <c r="BU127" i="28"/>
  <c r="AM128" i="28"/>
  <c r="AP128" i="28"/>
  <c r="AQ128" i="28"/>
  <c r="AQ142" i="28" s="1"/>
  <c r="BT135" i="28"/>
  <c r="BV135" i="28" s="1"/>
  <c r="BU135" i="28"/>
  <c r="BT136" i="28"/>
  <c r="BV136" i="28" s="1"/>
  <c r="BU136" i="28"/>
  <c r="BT137" i="28"/>
  <c r="BU137" i="28"/>
  <c r="AO138" i="28"/>
  <c r="AO141" i="28" s="1"/>
  <c r="AP138" i="28"/>
  <c r="AP141" i="28" s="1"/>
  <c r="AQ138" i="28"/>
  <c r="AQ141" i="28" s="1"/>
  <c r="AR138" i="28"/>
  <c r="AR141" i="28" s="1"/>
  <c r="AT138" i="28"/>
  <c r="AT141" i="28" s="1"/>
  <c r="AW138" i="28"/>
  <c r="AW141" i="28" s="1"/>
  <c r="AX138" i="28"/>
  <c r="AX141" i="28" s="1"/>
  <c r="AY138" i="28"/>
  <c r="AY141" i="28" s="1"/>
  <c r="AY142" i="28" s="1"/>
  <c r="AZ138" i="28"/>
  <c r="AZ141" i="28" s="1"/>
  <c r="BA138" i="28"/>
  <c r="BA141" i="28" s="1"/>
  <c r="BB138" i="28"/>
  <c r="BC138" i="28"/>
  <c r="BD138" i="28"/>
  <c r="BD141" i="28" s="1"/>
  <c r="BE138" i="28"/>
  <c r="BE141" i="28" s="1"/>
  <c r="BF138" i="28"/>
  <c r="BF141" i="28" s="1"/>
  <c r="BG138" i="28"/>
  <c r="BH138" i="28"/>
  <c r="BI138" i="28"/>
  <c r="BI141" i="28" s="1"/>
  <c r="BJ138" i="28"/>
  <c r="BJ141" i="28" s="1"/>
  <c r="BK138" i="28"/>
  <c r="BK141" i="28" s="1"/>
  <c r="BL138" i="28"/>
  <c r="BL141" i="28" s="1"/>
  <c r="BM138" i="28"/>
  <c r="BM141" i="28" s="1"/>
  <c r="BN138" i="28"/>
  <c r="BN141" i="28" s="1"/>
  <c r="BO138" i="28"/>
  <c r="BO141" i="28" s="1"/>
  <c r="BQ138" i="28"/>
  <c r="BQ141" i="28" s="1"/>
  <c r="BR138" i="28"/>
  <c r="BR141" i="28" s="1"/>
  <c r="BS138" i="28"/>
  <c r="BT138" i="28"/>
  <c r="BU138" i="28"/>
  <c r="BT139" i="28"/>
  <c r="BU139" i="28"/>
  <c r="BT140" i="28"/>
  <c r="BU140" i="28"/>
  <c r="AI140" i="28" s="1"/>
  <c r="BV140" i="28"/>
  <c r="BW140" i="28"/>
  <c r="BX140" i="28"/>
  <c r="AH141" i="28"/>
  <c r="AJ141" i="28"/>
  <c r="AK141" i="28"/>
  <c r="AL141" i="28"/>
  <c r="AM141" i="28"/>
  <c r="AN141" i="28"/>
  <c r="AS141" i="28"/>
  <c r="AU141" i="28"/>
  <c r="AV141" i="28"/>
  <c r="BB141" i="28"/>
  <c r="BC141" i="28"/>
  <c r="BG141" i="28"/>
  <c r="BH141" i="28"/>
  <c r="BP141" i="28"/>
  <c r="BS141" i="28"/>
  <c r="AX149" i="28"/>
  <c r="BB149" i="28"/>
  <c r="BB153" i="28" s="1"/>
  <c r="BD149" i="28"/>
  <c r="BD153" i="28" s="1"/>
  <c r="BK149" i="28"/>
  <c r="BK153" i="28" s="1"/>
  <c r="BT149" i="28"/>
  <c r="BT153" i="28" s="1"/>
  <c r="BU149" i="28"/>
  <c r="BU153" i="28" s="1"/>
  <c r="AI150" i="28"/>
  <c r="BX150" i="28" s="1"/>
  <c r="BV150" i="28"/>
  <c r="AI151" i="28"/>
  <c r="BW151" i="28" s="1"/>
  <c r="BV151" i="28"/>
  <c r="AI152" i="28"/>
  <c r="BV152" i="28"/>
  <c r="AH153" i="28"/>
  <c r="AJ153" i="28"/>
  <c r="AK153" i="28"/>
  <c r="AL153" i="28"/>
  <c r="AM153" i="28"/>
  <c r="AN153" i="28"/>
  <c r="AO153" i="28"/>
  <c r="AP153" i="28"/>
  <c r="AQ153" i="28"/>
  <c r="AR153" i="28"/>
  <c r="AS153" i="28"/>
  <c r="AT153" i="28"/>
  <c r="AU153" i="28"/>
  <c r="AV153" i="28"/>
  <c r="AW153" i="28"/>
  <c r="AY153" i="28"/>
  <c r="AZ153" i="28"/>
  <c r="BA153" i="28"/>
  <c r="BC153" i="28"/>
  <c r="BE153" i="28"/>
  <c r="BF153" i="28"/>
  <c r="BG153" i="28"/>
  <c r="BH153" i="28"/>
  <c r="BI153" i="28"/>
  <c r="BJ153" i="28"/>
  <c r="BL153" i="28"/>
  <c r="BM153" i="28"/>
  <c r="BN153" i="28"/>
  <c r="BO153" i="28"/>
  <c r="BP153" i="28"/>
  <c r="BQ153" i="28"/>
  <c r="BR153" i="28"/>
  <c r="BS153" i="28"/>
  <c r="AI160" i="28"/>
  <c r="BV160" i="28"/>
  <c r="BW160" i="28"/>
  <c r="BT161" i="28"/>
  <c r="BU161" i="28"/>
  <c r="AI161" i="28" s="1"/>
  <c r="BX161" i="28" s="1"/>
  <c r="BV161" i="28"/>
  <c r="BT162" i="28"/>
  <c r="BV162" i="28" s="1"/>
  <c r="BU162" i="28"/>
  <c r="BT163" i="28"/>
  <c r="BU163" i="28"/>
  <c r="AH164" i="28"/>
  <c r="AJ164" i="28"/>
  <c r="AK164" i="28"/>
  <c r="AL164" i="28"/>
  <c r="AM164" i="28"/>
  <c r="AN164" i="28"/>
  <c r="AO164" i="28"/>
  <c r="AP164" i="28"/>
  <c r="AQ164" i="28"/>
  <c r="AR164" i="28"/>
  <c r="AS164" i="28"/>
  <c r="AT164" i="28"/>
  <c r="AU164" i="28"/>
  <c r="AV164" i="28"/>
  <c r="AW164" i="28"/>
  <c r="AX164" i="28"/>
  <c r="AY164" i="28"/>
  <c r="AZ164" i="28"/>
  <c r="BA164" i="28"/>
  <c r="BB164" i="28"/>
  <c r="BC164" i="28"/>
  <c r="BD164" i="28"/>
  <c r="BE164" i="28"/>
  <c r="BF164" i="28"/>
  <c r="BG164" i="28"/>
  <c r="BH164" i="28"/>
  <c r="BI164" i="28"/>
  <c r="BJ164" i="28"/>
  <c r="BK164" i="28"/>
  <c r="BL164" i="28"/>
  <c r="BM164" i="28"/>
  <c r="BN164" i="28"/>
  <c r="BO164" i="28"/>
  <c r="BP164" i="28"/>
  <c r="BQ164" i="28"/>
  <c r="BR164" i="28"/>
  <c r="BS164" i="28"/>
  <c r="BT171" i="28"/>
  <c r="BU171" i="28"/>
  <c r="BT172" i="28"/>
  <c r="BU172" i="28"/>
  <c r="BV172" i="28" s="1"/>
  <c r="BU173" i="28"/>
  <c r="AI173" i="28" s="1"/>
  <c r="BV173" i="28"/>
  <c r="BT174" i="28"/>
  <c r="BU174" i="28"/>
  <c r="AI175" i="28"/>
  <c r="BX175" i="28" s="1"/>
  <c r="BV175" i="28"/>
  <c r="BW175" i="28"/>
  <c r="AH176" i="28"/>
  <c r="AJ176" i="28"/>
  <c r="AK176" i="28"/>
  <c r="AL176" i="28"/>
  <c r="AM176" i="28"/>
  <c r="AN176" i="28"/>
  <c r="AO176" i="28"/>
  <c r="AP176" i="28"/>
  <c r="AQ176" i="28"/>
  <c r="AR176" i="28"/>
  <c r="AS176" i="28"/>
  <c r="AT176" i="28"/>
  <c r="AU176" i="28"/>
  <c r="AV176" i="28"/>
  <c r="AW176" i="28"/>
  <c r="AX176" i="28"/>
  <c r="AY176" i="28"/>
  <c r="AZ176" i="28"/>
  <c r="BA176" i="28"/>
  <c r="BB176" i="28"/>
  <c r="BC176" i="28"/>
  <c r="BD176" i="28"/>
  <c r="BE176" i="28"/>
  <c r="BF176" i="28"/>
  <c r="BG176" i="28"/>
  <c r="BH176" i="28"/>
  <c r="BI176" i="28"/>
  <c r="BJ176" i="28"/>
  <c r="BK176" i="28"/>
  <c r="BL176" i="28"/>
  <c r="BM176" i="28"/>
  <c r="BN176" i="28"/>
  <c r="BO176" i="28"/>
  <c r="BP176" i="28"/>
  <c r="BQ176" i="28"/>
  <c r="BR176" i="28"/>
  <c r="BS176" i="28"/>
  <c r="BT183" i="28"/>
  <c r="BU183" i="28"/>
  <c r="AP184" i="28"/>
  <c r="BT184" i="28"/>
  <c r="BU184" i="28"/>
  <c r="AH185" i="28"/>
  <c r="AJ185" i="28"/>
  <c r="AK185" i="28"/>
  <c r="AL185" i="28"/>
  <c r="AM185" i="28"/>
  <c r="AN185" i="28"/>
  <c r="AO185" i="28"/>
  <c r="AQ185" i="28"/>
  <c r="AR185" i="28"/>
  <c r="AS185" i="28"/>
  <c r="AT185" i="28"/>
  <c r="AU185" i="28"/>
  <c r="AV185" i="28"/>
  <c r="AW185" i="28"/>
  <c r="AX185" i="28"/>
  <c r="AY185" i="28"/>
  <c r="AZ185" i="28"/>
  <c r="BA185" i="28"/>
  <c r="BB185" i="28"/>
  <c r="BC185" i="28"/>
  <c r="BD185" i="28"/>
  <c r="BE185" i="28"/>
  <c r="BF185" i="28"/>
  <c r="BG185" i="28"/>
  <c r="BH185" i="28"/>
  <c r="BI185" i="28"/>
  <c r="BJ185" i="28"/>
  <c r="BK185" i="28"/>
  <c r="BL185" i="28"/>
  <c r="BM185" i="28"/>
  <c r="BN185" i="28"/>
  <c r="BO185" i="28"/>
  <c r="BP185" i="28"/>
  <c r="BQ185" i="28"/>
  <c r="BR185" i="28"/>
  <c r="BS185" i="28"/>
  <c r="AI193" i="28"/>
  <c r="BW193" i="28" s="1"/>
  <c r="BV193" i="28"/>
  <c r="AK194" i="28"/>
  <c r="AK195" i="28" s="1"/>
  <c r="AL194" i="28"/>
  <c r="AL195" i="28" s="1"/>
  <c r="AL197" i="28" s="1"/>
  <c r="AM194" i="28"/>
  <c r="AM195" i="28" s="1"/>
  <c r="BK194" i="28"/>
  <c r="BO194" i="28"/>
  <c r="BO195" i="28" s="1"/>
  <c r="BU194" i="28"/>
  <c r="AP195" i="28"/>
  <c r="AP197" i="28" s="1"/>
  <c r="AT195" i="28"/>
  <c r="AT197" i="28" s="1"/>
  <c r="BB195" i="28"/>
  <c r="BB197" i="28" s="1"/>
  <c r="BM195" i="28"/>
  <c r="BM197" i="28" s="1"/>
  <c r="BT195" i="28"/>
  <c r="BU195" i="28"/>
  <c r="BT196" i="28"/>
  <c r="BT197" i="28" s="1"/>
  <c r="BU196" i="28"/>
  <c r="AH197" i="28"/>
  <c r="AJ197" i="28"/>
  <c r="AN197" i="28"/>
  <c r="AO197" i="28"/>
  <c r="AQ197" i="28"/>
  <c r="AR197" i="28"/>
  <c r="AS197" i="28"/>
  <c r="AU197" i="28"/>
  <c r="AV197" i="28"/>
  <c r="AW197" i="28"/>
  <c r="AX197" i="28"/>
  <c r="AY197" i="28"/>
  <c r="AZ197" i="28"/>
  <c r="BA197" i="28"/>
  <c r="BC197" i="28"/>
  <c r="BD197" i="28"/>
  <c r="BE197" i="28"/>
  <c r="BF197" i="28"/>
  <c r="BG197" i="28"/>
  <c r="BH197" i="28"/>
  <c r="BI197" i="28"/>
  <c r="BJ197" i="28"/>
  <c r="BL197" i="28"/>
  <c r="BN197" i="28"/>
  <c r="BP197" i="28"/>
  <c r="BQ197" i="28"/>
  <c r="BR197" i="28"/>
  <c r="BS197" i="28"/>
  <c r="AK204" i="28"/>
  <c r="AK220" i="28" s="1"/>
  <c r="AL204" i="28"/>
  <c r="AL220" i="28" s="1"/>
  <c r="BT204" i="28"/>
  <c r="BU204" i="28"/>
  <c r="AI205" i="28"/>
  <c r="BX205" i="28" s="1"/>
  <c r="BU205" i="28"/>
  <c r="BV205" i="28"/>
  <c r="AL206" i="28"/>
  <c r="BT206" i="28"/>
  <c r="BU206" i="28"/>
  <c r="BT207" i="28"/>
  <c r="BU207" i="28"/>
  <c r="BT208" i="28"/>
  <c r="BU208" i="28"/>
  <c r="BT209" i="28"/>
  <c r="BU209" i="28"/>
  <c r="AI210" i="28"/>
  <c r="BW210" i="28" s="1"/>
  <c r="BV210" i="28"/>
  <c r="BU211" i="28"/>
  <c r="AI211" i="28" s="1"/>
  <c r="BX211" i="28" s="1"/>
  <c r="BU212" i="28"/>
  <c r="AI212" i="28" s="1"/>
  <c r="BW212" i="28" s="1"/>
  <c r="BU213" i="28"/>
  <c r="AI213" i="28" s="1"/>
  <c r="BT214" i="28"/>
  <c r="BU214" i="28"/>
  <c r="AI214" i="28" s="1"/>
  <c r="BX214" i="28" s="1"/>
  <c r="BU216" i="28"/>
  <c r="AI216" i="28" s="1"/>
  <c r="BW216" i="28" s="1"/>
  <c r="BV216" i="28"/>
  <c r="AI217" i="28"/>
  <c r="BV217" i="28"/>
  <c r="BW217" i="28"/>
  <c r="BU219" i="28"/>
  <c r="BV219" i="28" s="1"/>
  <c r="AH220" i="28"/>
  <c r="AJ220" i="28"/>
  <c r="AM220" i="28"/>
  <c r="AN220" i="28"/>
  <c r="AO220" i="28"/>
  <c r="AP220" i="28"/>
  <c r="AQ220" i="28"/>
  <c r="AR220" i="28"/>
  <c r="AS220" i="28"/>
  <c r="AT220" i="28"/>
  <c r="AU220" i="28"/>
  <c r="AV220" i="28"/>
  <c r="AW220" i="28"/>
  <c r="AX220" i="28"/>
  <c r="AY220" i="28"/>
  <c r="AZ220" i="28"/>
  <c r="BA220" i="28"/>
  <c r="BB220" i="28"/>
  <c r="BC220" i="28"/>
  <c r="BD220" i="28"/>
  <c r="BE220" i="28"/>
  <c r="BF220" i="28"/>
  <c r="BG220" i="28"/>
  <c r="BH220" i="28"/>
  <c r="BI220" i="28"/>
  <c r="BJ220" i="28"/>
  <c r="BK220" i="28"/>
  <c r="BL220" i="28"/>
  <c r="BM220" i="28"/>
  <c r="BN220" i="28"/>
  <c r="BO220" i="28"/>
  <c r="BP220" i="28"/>
  <c r="BQ220" i="28"/>
  <c r="BR220" i="28"/>
  <c r="BS220" i="28"/>
  <c r="AI221" i="28"/>
  <c r="BX221" i="28" s="1"/>
  <c r="BV221" i="28"/>
  <c r="BU232" i="28"/>
  <c r="AI233" i="28"/>
  <c r="AI232" i="28"/>
  <c r="AI231" i="28"/>
  <c r="A26" i="6"/>
  <c r="A17" i="6"/>
  <c r="F28" i="6"/>
  <c r="F24" i="6"/>
  <c r="F23" i="6"/>
  <c r="F22" i="6"/>
  <c r="F21" i="6"/>
  <c r="F20" i="6"/>
  <c r="F19" i="6"/>
  <c r="BT230" i="28"/>
  <c r="BT234" i="28" s="1"/>
  <c r="BT237" i="28" s="1"/>
  <c r="BO230" i="28"/>
  <c r="BO234" i="28" s="1"/>
  <c r="BO237" i="28" s="1"/>
  <c r="J162" i="41"/>
  <c r="D30" i="6"/>
  <c r="S1121" i="7"/>
  <c r="S1120" i="7"/>
  <c r="S1118" i="7"/>
  <c r="S1117" i="7"/>
  <c r="S1116" i="7"/>
  <c r="S1106" i="7"/>
  <c r="S1094" i="7"/>
  <c r="S1093" i="7"/>
  <c r="S1090" i="7"/>
  <c r="S1089" i="7"/>
  <c r="S1088" i="7"/>
  <c r="S1086" i="7"/>
  <c r="D28" i="6"/>
  <c r="D19" i="6"/>
  <c r="D15" i="6"/>
  <c r="B28" i="6"/>
  <c r="B24" i="6"/>
  <c r="D24" i="6" s="1"/>
  <c r="B22" i="6"/>
  <c r="D22" i="6" s="1"/>
  <c r="B19" i="6"/>
  <c r="B15" i="6"/>
  <c r="B14" i="6"/>
  <c r="D14" i="6" s="1"/>
  <c r="B12" i="6"/>
  <c r="D12" i="6" s="1"/>
  <c r="B13" i="6"/>
  <c r="D13" i="6" s="1"/>
  <c r="M1178" i="7"/>
  <c r="M1176" i="7"/>
  <c r="M1177" i="7" s="1"/>
  <c r="M1170" i="7"/>
  <c r="M1169" i="7"/>
  <c r="J177" i="41"/>
  <c r="BS234" i="28"/>
  <c r="BS237" i="28" s="1"/>
  <c r="BR234" i="28"/>
  <c r="BR237" i="28" s="1"/>
  <c r="BQ234" i="28"/>
  <c r="BQ237" i="28" s="1"/>
  <c r="BP234" i="28"/>
  <c r="BP237" i="28" s="1"/>
  <c r="BN234" i="28"/>
  <c r="BN237" i="28" s="1"/>
  <c r="BM234" i="28"/>
  <c r="BM237" i="28" s="1"/>
  <c r="BL234" i="28"/>
  <c r="BL237" i="28" s="1"/>
  <c r="BK234" i="28"/>
  <c r="BK237" i="28" s="1"/>
  <c r="BJ234" i="28"/>
  <c r="BJ237" i="28" s="1"/>
  <c r="BI234" i="28"/>
  <c r="BI237" i="28" s="1"/>
  <c r="BH234" i="28"/>
  <c r="BH237" i="28" s="1"/>
  <c r="BG234" i="28"/>
  <c r="BG237" i="28" s="1"/>
  <c r="BF234" i="28"/>
  <c r="BF237" i="28" s="1"/>
  <c r="BE234" i="28"/>
  <c r="BE237" i="28" s="1"/>
  <c r="BD234" i="28"/>
  <c r="BD237" i="28" s="1"/>
  <c r="BC234" i="28"/>
  <c r="BC237" i="28" s="1"/>
  <c r="BB234" i="28"/>
  <c r="BB237" i="28" s="1"/>
  <c r="BA234" i="28"/>
  <c r="BA237" i="28" s="1"/>
  <c r="AZ234" i="28"/>
  <c r="AZ237" i="28" s="1"/>
  <c r="AY234" i="28"/>
  <c r="AY237" i="28" s="1"/>
  <c r="AX234" i="28"/>
  <c r="AX237" i="28" s="1"/>
  <c r="AW234" i="28"/>
  <c r="AW237" i="28" s="1"/>
  <c r="AV234" i="28"/>
  <c r="AV237" i="28" s="1"/>
  <c r="AU234" i="28"/>
  <c r="AU237" i="28" s="1"/>
  <c r="AT234" i="28"/>
  <c r="AT237" i="28" s="1"/>
  <c r="AS234" i="28"/>
  <c r="AS237" i="28" s="1"/>
  <c r="AR234" i="28"/>
  <c r="AR237" i="28" s="1"/>
  <c r="AQ234" i="28"/>
  <c r="AQ237" i="28" s="1"/>
  <c r="AP234" i="28"/>
  <c r="AP237" i="28" s="1"/>
  <c r="AO234" i="28"/>
  <c r="AO237" i="28" s="1"/>
  <c r="AN234" i="28"/>
  <c r="AN237" i="28" s="1"/>
  <c r="AM234" i="28"/>
  <c r="AM237" i="28" s="1"/>
  <c r="AK234" i="28"/>
  <c r="AK237" i="28" s="1"/>
  <c r="AJ234" i="28"/>
  <c r="AJ237" i="28" s="1"/>
  <c r="AH234" i="28"/>
  <c r="BV233" i="28"/>
  <c r="BV231" i="28"/>
  <c r="AH8" i="28"/>
  <c r="AD1" i="28"/>
  <c r="AA83" i="42"/>
  <c r="AB83" i="42" s="1"/>
  <c r="AA81" i="42"/>
  <c r="AB81" i="42" s="1"/>
  <c r="AA80" i="42"/>
  <c r="AB80" i="42" s="1"/>
  <c r="AA79" i="42"/>
  <c r="AB79" i="42" s="1"/>
  <c r="AA78" i="42"/>
  <c r="AB78" i="42" s="1"/>
  <c r="AA77" i="42"/>
  <c r="AB77" i="42" s="1"/>
  <c r="AA72" i="42"/>
  <c r="AB72" i="42" s="1"/>
  <c r="AA71" i="42"/>
  <c r="AB71" i="42" s="1"/>
  <c r="AA70" i="42"/>
  <c r="AB70" i="42" s="1"/>
  <c r="AA69" i="42"/>
  <c r="AB69" i="42" s="1"/>
  <c r="AA68" i="42"/>
  <c r="AB68" i="42" s="1"/>
  <c r="AA67" i="42"/>
  <c r="AB67" i="42" s="1"/>
  <c r="AA66" i="42"/>
  <c r="AB66" i="42" s="1"/>
  <c r="AA65" i="42"/>
  <c r="AB65" i="42" s="1"/>
  <c r="AA64" i="42"/>
  <c r="AB64" i="42" s="1"/>
  <c r="AA62" i="42"/>
  <c r="AB62" i="42" s="1"/>
  <c r="AA61" i="42"/>
  <c r="AB61" i="42" s="1"/>
  <c r="AA60" i="42"/>
  <c r="AB60" i="42" s="1"/>
  <c r="AA59" i="42"/>
  <c r="AB59" i="42" s="1"/>
  <c r="AA58" i="42"/>
  <c r="AB58" i="42" s="1"/>
  <c r="AA57" i="42"/>
  <c r="AB57" i="42" s="1"/>
  <c r="AA56" i="42"/>
  <c r="AB56" i="42" s="1"/>
  <c r="AA55" i="42"/>
  <c r="AB55" i="42" s="1"/>
  <c r="AA54" i="42"/>
  <c r="AB54" i="42" s="1"/>
  <c r="AA53" i="42"/>
  <c r="AB53" i="42" s="1"/>
  <c r="AA52" i="42"/>
  <c r="AB52" i="42" s="1"/>
  <c r="AA51" i="42"/>
  <c r="AB51" i="42" s="1"/>
  <c r="AA50" i="42"/>
  <c r="AB50" i="42" s="1"/>
  <c r="AA45" i="42"/>
  <c r="AB45" i="42" s="1"/>
  <c r="AA44" i="42"/>
  <c r="AB44" i="42" s="1"/>
  <c r="AA42" i="42"/>
  <c r="AB42" i="42" s="1"/>
  <c r="AA41" i="42"/>
  <c r="AB41" i="42" s="1"/>
  <c r="AA40" i="42"/>
  <c r="AB40" i="42" s="1"/>
  <c r="AA38" i="42"/>
  <c r="AA39" i="42"/>
  <c r="AB39" i="42" s="1"/>
  <c r="AB38" i="42"/>
  <c r="AA37" i="42"/>
  <c r="AB37" i="42" s="1"/>
  <c r="AA36" i="42"/>
  <c r="AB36" i="42" s="1"/>
  <c r="AA35" i="42"/>
  <c r="AB35" i="42" s="1"/>
  <c r="AA34" i="42"/>
  <c r="AB34" i="42" s="1"/>
  <c r="AA33" i="42"/>
  <c r="AB33" i="42" s="1"/>
  <c r="AA32" i="42"/>
  <c r="AB32" i="42" s="1"/>
  <c r="AA31" i="42"/>
  <c r="AB31" i="42" s="1"/>
  <c r="AA30" i="42"/>
  <c r="AB30" i="42" s="1"/>
  <c r="AA29" i="42"/>
  <c r="AB29" i="42" s="1"/>
  <c r="AA28" i="42"/>
  <c r="AB28" i="42" s="1"/>
  <c r="AA27" i="42"/>
  <c r="AB27" i="42" s="1"/>
  <c r="AA26" i="42"/>
  <c r="AB26" i="42" s="1"/>
  <c r="AA25" i="42"/>
  <c r="AB25" i="42" s="1"/>
  <c r="AA24" i="42"/>
  <c r="AB24" i="42" s="1"/>
  <c r="AA23" i="42"/>
  <c r="AB23" i="42" s="1"/>
  <c r="AA22" i="42"/>
  <c r="AB22" i="42" s="1"/>
  <c r="AA21" i="42"/>
  <c r="AB21" i="42" s="1"/>
  <c r="AA20" i="42"/>
  <c r="AB20" i="42" s="1"/>
  <c r="AA19" i="42"/>
  <c r="AA18" i="42"/>
  <c r="AA17" i="42"/>
  <c r="AA16" i="42"/>
  <c r="AA15" i="42"/>
  <c r="AA14" i="42"/>
  <c r="AA13" i="42"/>
  <c r="AA12" i="42"/>
  <c r="AA11" i="42"/>
  <c r="AB18" i="42"/>
  <c r="AB16" i="42"/>
  <c r="AB15" i="42"/>
  <c r="AB14" i="42"/>
  <c r="AB13" i="42"/>
  <c r="AB12" i="42"/>
  <c r="AB19" i="42"/>
  <c r="K31" i="5"/>
  <c r="K32" i="5"/>
  <c r="D39" i="5"/>
  <c r="H15" i="29" s="1"/>
  <c r="D38" i="5"/>
  <c r="AB11" i="42"/>
  <c r="R100" i="28" l="1"/>
  <c r="T100" i="28" s="1"/>
  <c r="S98" i="28"/>
  <c r="BV65" i="28"/>
  <c r="T107" i="28"/>
  <c r="BI142" i="28"/>
  <c r="AL128" i="28"/>
  <c r="S101" i="28"/>
  <c r="BT176" i="28"/>
  <c r="S56" i="28"/>
  <c r="I104" i="28"/>
  <c r="AP142" i="28"/>
  <c r="BR128" i="28"/>
  <c r="BR142" i="28" s="1"/>
  <c r="BR222" i="28" s="1"/>
  <c r="BR238" i="28" s="1"/>
  <c r="BR239" i="28" s="1"/>
  <c r="BB128" i="28"/>
  <c r="BB142" i="28" s="1"/>
  <c r="BB222" i="28" s="1"/>
  <c r="BB238" i="28" s="1"/>
  <c r="BB239" i="28" s="1"/>
  <c r="AK128" i="28"/>
  <c r="AK142" i="28" s="1"/>
  <c r="L101" i="28"/>
  <c r="AJ101" i="28" s="1"/>
  <c r="AI101" i="28" s="1"/>
  <c r="I55" i="28"/>
  <c r="L40" i="28"/>
  <c r="V38" i="28"/>
  <c r="BP128" i="28"/>
  <c r="BP142" i="28" s="1"/>
  <c r="AZ128" i="28"/>
  <c r="AZ142" i="28" s="1"/>
  <c r="AZ222" i="28" s="1"/>
  <c r="AZ238" i="28" s="1"/>
  <c r="AZ239" i="28" s="1"/>
  <c r="AH128" i="28"/>
  <c r="AH142" i="28" s="1"/>
  <c r="AH222" i="28" s="1"/>
  <c r="S59" i="28"/>
  <c r="T73" i="28"/>
  <c r="I50" i="28"/>
  <c r="BT116" i="28"/>
  <c r="BT128" i="28" s="1"/>
  <c r="BV184" i="28"/>
  <c r="AI139" i="28"/>
  <c r="BW139" i="28" s="1"/>
  <c r="L106" i="28"/>
  <c r="T106" i="28" s="1"/>
  <c r="W114" i="28"/>
  <c r="I45" i="28"/>
  <c r="BV204" i="28"/>
  <c r="AI163" i="28"/>
  <c r="BX163" i="28" s="1"/>
  <c r="L104" i="28"/>
  <c r="T52" i="28"/>
  <c r="V41" i="28"/>
  <c r="V37" i="28"/>
  <c r="I31" i="28"/>
  <c r="AI162" i="28"/>
  <c r="BX162" i="28" s="1"/>
  <c r="BU141" i="28"/>
  <c r="BU142" i="28" s="1"/>
  <c r="T64" i="28"/>
  <c r="L43" i="28"/>
  <c r="K41" i="28"/>
  <c r="S41" i="28" s="1"/>
  <c r="I32" i="28"/>
  <c r="BU220" i="28"/>
  <c r="BV209" i="28"/>
  <c r="AQ222" i="28"/>
  <c r="BU176" i="28"/>
  <c r="L42" i="28"/>
  <c r="BV26" i="28"/>
  <c r="S88" i="28"/>
  <c r="AI184" i="28"/>
  <c r="BV69" i="28"/>
  <c r="V59" i="28"/>
  <c r="BV60" i="28"/>
  <c r="AI114" i="28"/>
  <c r="T57" i="28"/>
  <c r="BV149" i="28"/>
  <c r="BV153" i="28" s="1"/>
  <c r="I103" i="28"/>
  <c r="BW95" i="28"/>
  <c r="V73" i="28"/>
  <c r="V57" i="28"/>
  <c r="T40" i="28"/>
  <c r="T36" i="28"/>
  <c r="BK195" i="28"/>
  <c r="BK197" i="28" s="1"/>
  <c r="BV139" i="28"/>
  <c r="T75" i="28"/>
  <c r="K57" i="28"/>
  <c r="AJ57" i="28" s="1"/>
  <c r="AI57" i="28" s="1"/>
  <c r="S40" i="28"/>
  <c r="U40" i="28" s="1"/>
  <c r="K34" i="28"/>
  <c r="I26" i="28"/>
  <c r="I25" i="28"/>
  <c r="AI135" i="28"/>
  <c r="I58" i="28"/>
  <c r="BN128" i="28"/>
  <c r="BN142" i="28" s="1"/>
  <c r="BN222" i="28" s="1"/>
  <c r="BN238" i="28" s="1"/>
  <c r="BN239" i="28" s="1"/>
  <c r="BT141" i="28"/>
  <c r="BT142" i="28" s="1"/>
  <c r="AX153" i="28"/>
  <c r="BG128" i="28"/>
  <c r="BG142" i="28" s="1"/>
  <c r="BG222" i="28" s="1"/>
  <c r="BG238" i="28" s="1"/>
  <c r="BG239" i="28" s="1"/>
  <c r="I54" i="28"/>
  <c r="I70" i="28"/>
  <c r="L60" i="28"/>
  <c r="S94" i="28"/>
  <c r="I88" i="28"/>
  <c r="AP185" i="28"/>
  <c r="AI172" i="28"/>
  <c r="BW172" i="28" s="1"/>
  <c r="S80" i="28"/>
  <c r="BU197" i="28"/>
  <c r="BV171" i="28"/>
  <c r="BU164" i="28"/>
  <c r="BV206" i="28"/>
  <c r="BF142" i="28"/>
  <c r="BF222" i="28" s="1"/>
  <c r="BF238" i="28" s="1"/>
  <c r="BF239" i="28" s="1"/>
  <c r="S92" i="28"/>
  <c r="I28" i="28"/>
  <c r="BF128" i="28"/>
  <c r="BV212" i="28"/>
  <c r="BW205" i="28"/>
  <c r="BX151" i="28"/>
  <c r="AI136" i="28"/>
  <c r="BW136" i="28" s="1"/>
  <c r="BU116" i="28"/>
  <c r="BU128" i="28" s="1"/>
  <c r="BE128" i="28"/>
  <c r="BE142" i="28" s="1"/>
  <c r="BE222" i="28" s="1"/>
  <c r="BE238" i="28" s="1"/>
  <c r="BE239" i="28" s="1"/>
  <c r="AO128" i="28"/>
  <c r="AO142" i="28" s="1"/>
  <c r="AO222" i="28" s="1"/>
  <c r="AO238" i="28" s="1"/>
  <c r="AO239" i="28" s="1"/>
  <c r="S43" i="28"/>
  <c r="I35" i="28"/>
  <c r="BO142" i="28"/>
  <c r="AI209" i="28"/>
  <c r="BW209" i="28" s="1"/>
  <c r="AJ96" i="28"/>
  <c r="AI96" i="28" s="1"/>
  <c r="BW96" i="28" s="1"/>
  <c r="BW221" i="28"/>
  <c r="BD128" i="28"/>
  <c r="BD142" i="28" s="1"/>
  <c r="BD222" i="28" s="1"/>
  <c r="BD238" i="28" s="1"/>
  <c r="BD239" i="28" s="1"/>
  <c r="AN128" i="28"/>
  <c r="AN142" i="28" s="1"/>
  <c r="AN222" i="28" s="1"/>
  <c r="AN238" i="28" s="1"/>
  <c r="AN239" i="28" s="1"/>
  <c r="I107" i="28"/>
  <c r="I96" i="28"/>
  <c r="V88" i="28"/>
  <c r="I74" i="28"/>
  <c r="V39" i="28"/>
  <c r="BW211" i="28"/>
  <c r="BU185" i="28"/>
  <c r="BV174" i="28"/>
  <c r="BC128" i="28"/>
  <c r="BC142" i="28" s="1"/>
  <c r="BC222" i="28" s="1"/>
  <c r="BC238" i="28" s="1"/>
  <c r="BC239" i="28" s="1"/>
  <c r="K58" i="28"/>
  <c r="S58" i="28" s="1"/>
  <c r="I49" i="28"/>
  <c r="K26" i="28"/>
  <c r="AJ26" i="28" s="1"/>
  <c r="BW48" i="28"/>
  <c r="BX48" i="28"/>
  <c r="BW87" i="28"/>
  <c r="BX87" i="28"/>
  <c r="BX63" i="28"/>
  <c r="BW63" i="28"/>
  <c r="V108" i="28"/>
  <c r="T108" i="28"/>
  <c r="BW62" i="28"/>
  <c r="BX62" i="28"/>
  <c r="AG117" i="28"/>
  <c r="I102" i="28"/>
  <c r="T60" i="28"/>
  <c r="BW150" i="28"/>
  <c r="I110" i="28"/>
  <c r="V106" i="28"/>
  <c r="L102" i="28"/>
  <c r="AJ102" i="28" s="1"/>
  <c r="AI102" i="28" s="1"/>
  <c r="I98" i="28"/>
  <c r="L84" i="28"/>
  <c r="T84" i="28" s="1"/>
  <c r="U84" i="28" s="1"/>
  <c r="K79" i="28"/>
  <c r="S79" i="28" s="1"/>
  <c r="BX71" i="28"/>
  <c r="AJ67" i="28"/>
  <c r="AI67" i="28" s="1"/>
  <c r="BW67" i="28" s="1"/>
  <c r="I57" i="28"/>
  <c r="R43" i="28"/>
  <c r="K30" i="28"/>
  <c r="AJ30" i="28" s="1"/>
  <c r="AI30" i="28" s="1"/>
  <c r="I84" i="28"/>
  <c r="I90" i="28"/>
  <c r="I64" i="28"/>
  <c r="V40" i="28"/>
  <c r="I34" i="28"/>
  <c r="L33" i="28"/>
  <c r="AI26" i="28"/>
  <c r="BW26" i="28" s="1"/>
  <c r="BP222" i="28"/>
  <c r="BP238" i="28" s="1"/>
  <c r="BP239" i="28" s="1"/>
  <c r="AJ106" i="28"/>
  <c r="AI106" i="28" s="1"/>
  <c r="BW106" i="28" s="1"/>
  <c r="T34" i="28"/>
  <c r="BX212" i="28"/>
  <c r="L82" i="28"/>
  <c r="L80" i="28"/>
  <c r="AJ80" i="28" s="1"/>
  <c r="AI80" i="28" s="1"/>
  <c r="V69" i="28"/>
  <c r="S31" i="28"/>
  <c r="BI222" i="28"/>
  <c r="BI238" i="28" s="1"/>
  <c r="BI239" i="28" s="1"/>
  <c r="AM142" i="28"/>
  <c r="I109" i="28"/>
  <c r="I105" i="28"/>
  <c r="L94" i="28"/>
  <c r="K82" i="28"/>
  <c r="S82" i="28" s="1"/>
  <c r="V52" i="28"/>
  <c r="I43" i="28"/>
  <c r="BS128" i="28"/>
  <c r="BS142" i="28" s="1"/>
  <c r="BS222" i="28" s="1"/>
  <c r="BS238" i="28" s="1"/>
  <c r="BS239" i="28" s="1"/>
  <c r="I101" i="28"/>
  <c r="I75" i="28"/>
  <c r="T58" i="28"/>
  <c r="V55" i="28"/>
  <c r="AT128" i="28"/>
  <c r="AT142" i="28" s="1"/>
  <c r="AT222" i="28" s="1"/>
  <c r="AT238" i="28" s="1"/>
  <c r="AT239" i="28" s="1"/>
  <c r="I108" i="28"/>
  <c r="K97" i="28"/>
  <c r="S97" i="28" s="1"/>
  <c r="AJ92" i="28"/>
  <c r="AI92" i="28" s="1"/>
  <c r="BW92" i="28" s="1"/>
  <c r="BX86" i="28"/>
  <c r="S84" i="28"/>
  <c r="I81" i="28"/>
  <c r="L70" i="28"/>
  <c r="T70" i="28" s="1"/>
  <c r="I56" i="28"/>
  <c r="T55" i="28"/>
  <c r="T49" i="28"/>
  <c r="L35" i="28"/>
  <c r="AJ35" i="28" s="1"/>
  <c r="AI35" i="28" s="1"/>
  <c r="L24" i="28"/>
  <c r="T24" i="28" s="1"/>
  <c r="I33" i="28"/>
  <c r="S60" i="28"/>
  <c r="U60" i="28" s="1"/>
  <c r="S96" i="28"/>
  <c r="V85" i="28"/>
  <c r="V105" i="28"/>
  <c r="V97" i="28"/>
  <c r="BX216" i="28"/>
  <c r="BQ128" i="28"/>
  <c r="BQ142" i="28" s="1"/>
  <c r="BQ222" i="28" s="1"/>
  <c r="BQ238" i="28" s="1"/>
  <c r="BQ239" i="28" s="1"/>
  <c r="BA128" i="28"/>
  <c r="BA142" i="28" s="1"/>
  <c r="BA222" i="28" s="1"/>
  <c r="BA238" i="28" s="1"/>
  <c r="BA239" i="28" s="1"/>
  <c r="L105" i="28"/>
  <c r="T105" i="28" s="1"/>
  <c r="I100" i="28"/>
  <c r="S99" i="28"/>
  <c r="V91" i="28"/>
  <c r="L88" i="28"/>
  <c r="T88" i="28" s="1"/>
  <c r="U88" i="28" s="1"/>
  <c r="V79" i="28"/>
  <c r="I59" i="28"/>
  <c r="L55" i="28"/>
  <c r="AJ55" i="28" s="1"/>
  <c r="AI55" i="28" s="1"/>
  <c r="L49" i="28"/>
  <c r="AJ49" i="28" s="1"/>
  <c r="AI49" i="28" s="1"/>
  <c r="L45" i="28"/>
  <c r="AJ45" i="28" s="1"/>
  <c r="AI45" i="28" s="1"/>
  <c r="K27" i="28"/>
  <c r="AJ27" i="28" s="1"/>
  <c r="AI27" i="28" s="1"/>
  <c r="BW27" i="28" s="1"/>
  <c r="T26" i="28"/>
  <c r="T85" i="28"/>
  <c r="I41" i="28"/>
  <c r="AY222" i="28"/>
  <c r="AY238" i="28" s="1"/>
  <c r="AY239" i="28" s="1"/>
  <c r="I106" i="28"/>
  <c r="AK197" i="28"/>
  <c r="BW161" i="28"/>
  <c r="BH128" i="28"/>
  <c r="BH142" i="28" s="1"/>
  <c r="BH222" i="28" s="1"/>
  <c r="BH238" i="28" s="1"/>
  <c r="BH239" i="28" s="1"/>
  <c r="I92" i="28"/>
  <c r="I38" i="28"/>
  <c r="BX61" i="28"/>
  <c r="BW61" i="28"/>
  <c r="U100" i="28"/>
  <c r="S89" i="28"/>
  <c r="BX213" i="28"/>
  <c r="BW213" i="28"/>
  <c r="BW173" i="28"/>
  <c r="BX173" i="28"/>
  <c r="AX142" i="28"/>
  <c r="T97" i="28"/>
  <c r="S75" i="28"/>
  <c r="T66" i="28"/>
  <c r="S36" i="28"/>
  <c r="AJ32" i="28"/>
  <c r="AI32" i="28" s="1"/>
  <c r="S32" i="28"/>
  <c r="I76" i="28"/>
  <c r="R33" i="28"/>
  <c r="S33" i="28"/>
  <c r="BW162" i="28"/>
  <c r="AR128" i="28"/>
  <c r="AR142" i="28" s="1"/>
  <c r="AR222" i="28" s="1"/>
  <c r="AR238" i="28" s="1"/>
  <c r="AR239" i="28" s="1"/>
  <c r="BV213" i="28"/>
  <c r="BO197" i="28"/>
  <c r="BO222" i="28" s="1"/>
  <c r="BO238" i="28" s="1"/>
  <c r="BO239" i="28" s="1"/>
  <c r="BV196" i="28"/>
  <c r="AI174" i="28"/>
  <c r="AJ108" i="28"/>
  <c r="AI108" i="28" s="1"/>
  <c r="R103" i="28"/>
  <c r="T103" i="28" s="1"/>
  <c r="S103" i="28"/>
  <c r="I89" i="28"/>
  <c r="T79" i="28"/>
  <c r="K76" i="28"/>
  <c r="AJ76" i="28" s="1"/>
  <c r="AI76" i="28" s="1"/>
  <c r="V70" i="28"/>
  <c r="K66" i="28"/>
  <c r="AJ66" i="28" s="1"/>
  <c r="AI66" i="28" s="1"/>
  <c r="V56" i="28"/>
  <c r="BV208" i="28"/>
  <c r="BX113" i="28"/>
  <c r="BW113" i="28"/>
  <c r="AI149" i="28"/>
  <c r="V80" i="28"/>
  <c r="BV207" i="28"/>
  <c r="K37" i="28"/>
  <c r="S37" i="28" s="1"/>
  <c r="L37" i="28"/>
  <c r="T37" i="28" s="1"/>
  <c r="V34" i="28"/>
  <c r="AJ34" i="28"/>
  <c r="AI34" i="28" s="1"/>
  <c r="S34" i="28"/>
  <c r="AJ36" i="28"/>
  <c r="AI36" i="28" s="1"/>
  <c r="V36" i="28"/>
  <c r="S102" i="28"/>
  <c r="I68" i="28"/>
  <c r="S68" i="28"/>
  <c r="I66" i="28"/>
  <c r="BW44" i="28"/>
  <c r="BX44" i="28"/>
  <c r="AI196" i="28"/>
  <c r="R104" i="28"/>
  <c r="T104" i="28" s="1"/>
  <c r="S104" i="28"/>
  <c r="I51" i="28"/>
  <c r="AI208" i="28"/>
  <c r="AM197" i="28"/>
  <c r="I97" i="28"/>
  <c r="BW93" i="28"/>
  <c r="BX93" i="28"/>
  <c r="V68" i="28"/>
  <c r="AL222" i="28"/>
  <c r="AL238" i="28" s="1"/>
  <c r="BT164" i="28"/>
  <c r="AW148" i="28"/>
  <c r="BX139" i="28"/>
  <c r="AI194" i="28"/>
  <c r="AI164" i="28"/>
  <c r="BX164" i="28" s="1"/>
  <c r="BW112" i="28"/>
  <c r="BX112" i="28"/>
  <c r="K109" i="28"/>
  <c r="S109" i="28" s="1"/>
  <c r="L109" i="28"/>
  <c r="T109" i="28" s="1"/>
  <c r="V107" i="28"/>
  <c r="S106" i="28"/>
  <c r="V100" i="28"/>
  <c r="V64" i="28"/>
  <c r="I37" i="28"/>
  <c r="BV211" i="28"/>
  <c r="AI204" i="28"/>
  <c r="T90" i="28"/>
  <c r="V89" i="28"/>
  <c r="V84" i="28"/>
  <c r="T81" i="28"/>
  <c r="T76" i="28"/>
  <c r="V58" i="28"/>
  <c r="T31" i="28"/>
  <c r="I24" i="28"/>
  <c r="V24" i="28"/>
  <c r="AI207" i="28"/>
  <c r="AU134" i="28"/>
  <c r="L89" i="28"/>
  <c r="AJ89" i="28" s="1"/>
  <c r="AI89" i="28" s="1"/>
  <c r="S81" i="28"/>
  <c r="K73" i="28"/>
  <c r="AJ73" i="28" s="1"/>
  <c r="AI73" i="28" s="1"/>
  <c r="I73" i="28"/>
  <c r="S64" i="28"/>
  <c r="U64" i="28" s="1"/>
  <c r="K52" i="28"/>
  <c r="V31" i="28"/>
  <c r="AJ31" i="28"/>
  <c r="AI31" i="28" s="1"/>
  <c r="AI219" i="28"/>
  <c r="BW219" i="28" s="1"/>
  <c r="BW214" i="28"/>
  <c r="BV163" i="28"/>
  <c r="BV164" i="28" s="1"/>
  <c r="AW159" i="28"/>
  <c r="AI138" i="28"/>
  <c r="AU133" i="28"/>
  <c r="S107" i="28"/>
  <c r="U107" i="28" s="1"/>
  <c r="V101" i="28"/>
  <c r="R65" i="28"/>
  <c r="T65" i="28" s="1"/>
  <c r="S65" i="28"/>
  <c r="U65" i="28" s="1"/>
  <c r="V65" i="28"/>
  <c r="AJ58" i="28"/>
  <c r="AI58" i="28" s="1"/>
  <c r="I36" i="28"/>
  <c r="V82" i="28"/>
  <c r="BV214" i="28"/>
  <c r="AW192" i="28"/>
  <c r="AW203" i="28" s="1"/>
  <c r="BX111" i="28"/>
  <c r="AJ104" i="28"/>
  <c r="AI104" i="28" s="1"/>
  <c r="T91" i="28"/>
  <c r="I79" i="28"/>
  <c r="AJ64" i="28"/>
  <c r="AI64" i="28" s="1"/>
  <c r="V45" i="28"/>
  <c r="S35" i="28"/>
  <c r="V60" i="28"/>
  <c r="AJ60" i="28"/>
  <c r="AI60" i="28" s="1"/>
  <c r="BV176" i="28"/>
  <c r="BK128" i="28"/>
  <c r="BK142" i="28" s="1"/>
  <c r="AU128" i="28"/>
  <c r="AU142" i="28" s="1"/>
  <c r="AU222" i="28" s="1"/>
  <c r="AU238" i="28" s="1"/>
  <c r="AU239" i="28" s="1"/>
  <c r="K110" i="28"/>
  <c r="S110" i="28" s="1"/>
  <c r="L110" i="28"/>
  <c r="T110" i="28" s="1"/>
  <c r="AJ107" i="28"/>
  <c r="AI107" i="28" s="1"/>
  <c r="AJ100" i="28"/>
  <c r="AI100" i="28" s="1"/>
  <c r="I77" i="28"/>
  <c r="S77" i="28"/>
  <c r="V77" i="28"/>
  <c r="I67" i="28"/>
  <c r="S67" i="28"/>
  <c r="T67" i="28"/>
  <c r="K50" i="28"/>
  <c r="L50" i="28"/>
  <c r="T50" i="28" s="1"/>
  <c r="AJ75" i="28"/>
  <c r="AI75" i="28" s="1"/>
  <c r="V75" i="28"/>
  <c r="BT220" i="28"/>
  <c r="AI206" i="28"/>
  <c r="AI171" i="28"/>
  <c r="BJ128" i="28"/>
  <c r="BJ142" i="28" s="1"/>
  <c r="BJ222" i="28" s="1"/>
  <c r="BJ238" i="28" s="1"/>
  <c r="BJ239" i="28" s="1"/>
  <c r="T96" i="28"/>
  <c r="V96" i="28"/>
  <c r="R74" i="28"/>
  <c r="T74" i="28" s="1"/>
  <c r="S74" i="28"/>
  <c r="R42" i="28"/>
  <c r="S42" i="28"/>
  <c r="I39" i="28"/>
  <c r="S39" i="28"/>
  <c r="V35" i="28"/>
  <c r="T32" i="28"/>
  <c r="I27" i="28"/>
  <c r="BW152" i="28"/>
  <c r="BX152" i="28"/>
  <c r="AI183" i="28"/>
  <c r="BV183" i="28"/>
  <c r="BT185" i="28"/>
  <c r="AL142" i="28"/>
  <c r="BV137" i="28"/>
  <c r="AW182" i="28"/>
  <c r="AI137" i="28"/>
  <c r="AS128" i="28"/>
  <c r="AS142" i="28" s="1"/>
  <c r="AS222" i="28" s="1"/>
  <c r="AS238" i="28" s="1"/>
  <c r="AS239" i="28" s="1"/>
  <c r="S108" i="28"/>
  <c r="U108" i="28" s="1"/>
  <c r="V102" i="28"/>
  <c r="R94" i="28"/>
  <c r="I91" i="28"/>
  <c r="BV80" i="28"/>
  <c r="K91" i="28"/>
  <c r="AJ91" i="28" s="1"/>
  <c r="AI91" i="28" s="1"/>
  <c r="V76" i="28"/>
  <c r="AJ90" i="28"/>
  <c r="AI90" i="28" s="1"/>
  <c r="R51" i="28"/>
  <c r="T51" i="28" s="1"/>
  <c r="S51" i="28"/>
  <c r="V49" i="28"/>
  <c r="R30" i="28"/>
  <c r="K25" i="28"/>
  <c r="L25" i="28"/>
  <c r="T25" i="28" s="1"/>
  <c r="V110" i="28"/>
  <c r="BV89" i="28"/>
  <c r="S85" i="28"/>
  <c r="V46" i="28"/>
  <c r="T41" i="28"/>
  <c r="U41" i="28" s="1"/>
  <c r="BV194" i="28"/>
  <c r="L99" i="28"/>
  <c r="T99" i="28" s="1"/>
  <c r="V92" i="28"/>
  <c r="I80" i="28"/>
  <c r="BX78" i="28"/>
  <c r="BX72" i="28"/>
  <c r="S70" i="28"/>
  <c r="S45" i="28"/>
  <c r="BV30" i="28"/>
  <c r="V28" i="28"/>
  <c r="BV116" i="28"/>
  <c r="R98" i="28"/>
  <c r="V98" i="28" s="1"/>
  <c r="AJ85" i="28"/>
  <c r="AI85" i="28" s="1"/>
  <c r="V47" i="28"/>
  <c r="K38" i="28"/>
  <c r="S38" i="28" s="1"/>
  <c r="L38" i="28"/>
  <c r="T38" i="28" s="1"/>
  <c r="S105" i="28"/>
  <c r="L98" i="28"/>
  <c r="T92" i="28"/>
  <c r="AJ81" i="28"/>
  <c r="AI81" i="28" s="1"/>
  <c r="L68" i="28"/>
  <c r="T68" i="28" s="1"/>
  <c r="V67" i="28"/>
  <c r="V66" i="28"/>
  <c r="L47" i="28"/>
  <c r="T47" i="28" s="1"/>
  <c r="S46" i="28"/>
  <c r="T27" i="28"/>
  <c r="V90" i="28"/>
  <c r="V81" i="28"/>
  <c r="K47" i="28"/>
  <c r="AJ40" i="28"/>
  <c r="AI40" i="28" s="1"/>
  <c r="V27" i="28"/>
  <c r="BX83" i="28"/>
  <c r="K69" i="28"/>
  <c r="L69" i="28"/>
  <c r="T69" i="28" s="1"/>
  <c r="S54" i="28"/>
  <c r="V54" i="28"/>
  <c r="I52" i="28"/>
  <c r="BV127" i="28"/>
  <c r="BW127" i="28"/>
  <c r="BM128" i="28"/>
  <c r="BM142" i="28" s="1"/>
  <c r="BM222" i="28" s="1"/>
  <c r="BM238" i="28" s="1"/>
  <c r="BM239" i="28" s="1"/>
  <c r="AW128" i="28"/>
  <c r="AW142" i="28" s="1"/>
  <c r="AW222" i="28" s="1"/>
  <c r="AW238" i="28" s="1"/>
  <c r="AW239" i="28" s="1"/>
  <c r="I99" i="28"/>
  <c r="L77" i="28"/>
  <c r="AJ77" i="28" s="1"/>
  <c r="AI77" i="28" s="1"/>
  <c r="L54" i="28"/>
  <c r="AJ54" i="28" s="1"/>
  <c r="AI54" i="28" s="1"/>
  <c r="L46" i="28"/>
  <c r="AJ46" i="28" s="1"/>
  <c r="AI46" i="28" s="1"/>
  <c r="V26" i="28"/>
  <c r="BV138" i="28"/>
  <c r="BL128" i="28"/>
  <c r="BL142" i="28" s="1"/>
  <c r="BL222" i="28" s="1"/>
  <c r="BL238" i="28" s="1"/>
  <c r="BL239" i="28" s="1"/>
  <c r="AV128" i="28"/>
  <c r="AV142" i="28" s="1"/>
  <c r="AV222" i="28" s="1"/>
  <c r="AV238" i="28" s="1"/>
  <c r="AV239" i="28" s="1"/>
  <c r="S90" i="28"/>
  <c r="V50" i="28"/>
  <c r="S49" i="28"/>
  <c r="K28" i="28"/>
  <c r="S28" i="28" s="1"/>
  <c r="L28" i="28"/>
  <c r="T28" i="28" s="1"/>
  <c r="L59" i="28"/>
  <c r="T59" i="28" s="1"/>
  <c r="U59" i="28" s="1"/>
  <c r="L56" i="28"/>
  <c r="AJ56" i="28" s="1"/>
  <c r="AI56" i="28" s="1"/>
  <c r="S55" i="28"/>
  <c r="L39" i="28"/>
  <c r="T39" i="28" s="1"/>
  <c r="S24" i="28"/>
  <c r="V32" i="28"/>
  <c r="AI230" i="28"/>
  <c r="BW230" i="28" s="1"/>
  <c r="BW234" i="28" s="1"/>
  <c r="AW229" i="28"/>
  <c r="AQ238" i="28"/>
  <c r="AQ239" i="28" s="1"/>
  <c r="AL234" i="28"/>
  <c r="AL237" i="28" s="1"/>
  <c r="BV230" i="28"/>
  <c r="BX231" i="28"/>
  <c r="BW231" i="28"/>
  <c r="BX232" i="28"/>
  <c r="BW232" i="28"/>
  <c r="BU234" i="28"/>
  <c r="BV232" i="28"/>
  <c r="BX233" i="28"/>
  <c r="BW233" i="28"/>
  <c r="AH237" i="28"/>
  <c r="H12" i="29"/>
  <c r="H13" i="29"/>
  <c r="H14" i="29"/>
  <c r="J14" i="29" s="1"/>
  <c r="J15" i="29"/>
  <c r="B16" i="5"/>
  <c r="D11" i="29" s="1"/>
  <c r="H16" i="5"/>
  <c r="H18" i="5" s="1"/>
  <c r="D37" i="29" s="1"/>
  <c r="D38" i="29" s="1"/>
  <c r="H38" i="29" s="1"/>
  <c r="E16" i="5"/>
  <c r="D30" i="29" s="1"/>
  <c r="D16" i="5"/>
  <c r="C16" i="5"/>
  <c r="D21" i="29" s="1"/>
  <c r="G16" i="5"/>
  <c r="D34" i="29" s="1"/>
  <c r="I16" i="5"/>
  <c r="D40" i="29" s="1"/>
  <c r="F11" i="29"/>
  <c r="F12" i="29" s="1"/>
  <c r="F18" i="29" s="1"/>
  <c r="D32" i="29"/>
  <c r="J32" i="29" s="1"/>
  <c r="D28" i="29"/>
  <c r="J28" i="29" s="1"/>
  <c r="D24" i="29"/>
  <c r="J24" i="29" s="1"/>
  <c r="B16" i="6"/>
  <c r="B8" i="6"/>
  <c r="B7" i="6"/>
  <c r="K17" i="5"/>
  <c r="K15" i="5"/>
  <c r="K14" i="5"/>
  <c r="K13" i="5"/>
  <c r="K12" i="5"/>
  <c r="F15" i="5"/>
  <c r="F14" i="5"/>
  <c r="J16" i="5"/>
  <c r="J18" i="5" s="1"/>
  <c r="D31" i="6"/>
  <c r="J16" i="29"/>
  <c r="J17" i="29"/>
  <c r="D23" i="29"/>
  <c r="J23" i="29" s="1"/>
  <c r="B25" i="6"/>
  <c r="B30" i="6" s="1"/>
  <c r="E31" i="6"/>
  <c r="J37" i="29"/>
  <c r="AI195" i="28" l="1"/>
  <c r="U79" i="28"/>
  <c r="BW163" i="28"/>
  <c r="BX106" i="28"/>
  <c r="T101" i="28"/>
  <c r="U101" i="28" s="1"/>
  <c r="S26" i="28"/>
  <c r="T42" i="28"/>
  <c r="U42" i="28" s="1"/>
  <c r="U74" i="28"/>
  <c r="U106" i="28"/>
  <c r="V103" i="28"/>
  <c r="U36" i="28"/>
  <c r="AP222" i="28"/>
  <c r="AP238" i="28" s="1"/>
  <c r="AP239" i="28" s="1"/>
  <c r="T33" i="28"/>
  <c r="U33" i="28" s="1"/>
  <c r="BV195" i="28"/>
  <c r="BV197" i="28" s="1"/>
  <c r="T43" i="28"/>
  <c r="U43" i="28" s="1"/>
  <c r="AJ70" i="28"/>
  <c r="AI70" i="28" s="1"/>
  <c r="BX70" i="28" s="1"/>
  <c r="U96" i="28"/>
  <c r="BX230" i="28"/>
  <c r="AJ41" i="28"/>
  <c r="AI41" i="28" s="1"/>
  <c r="BW41" i="28" s="1"/>
  <c r="AJ79" i="28"/>
  <c r="AI79" i="28" s="1"/>
  <c r="U99" i="28"/>
  <c r="BX26" i="28"/>
  <c r="AI234" i="28"/>
  <c r="AI237" i="28" s="1"/>
  <c r="BW237" i="28" s="1"/>
  <c r="U92" i="28"/>
  <c r="BV185" i="28"/>
  <c r="AJ82" i="28"/>
  <c r="AI82" i="28" s="1"/>
  <c r="BX82" i="28" s="1"/>
  <c r="BX57" i="28"/>
  <c r="BW57" i="28"/>
  <c r="BX41" i="28"/>
  <c r="BW184" i="28"/>
  <c r="BX184" i="28"/>
  <c r="BU222" i="28"/>
  <c r="BW114" i="28"/>
  <c r="BX114" i="28"/>
  <c r="BV220" i="28"/>
  <c r="BX96" i="28"/>
  <c r="T102" i="28"/>
  <c r="U102" i="28" s="1"/>
  <c r="BV141" i="28"/>
  <c r="U81" i="28"/>
  <c r="U75" i="28"/>
  <c r="BX92" i="28"/>
  <c r="BX136" i="28"/>
  <c r="U26" i="28"/>
  <c r="T45" i="28"/>
  <c r="U45" i="28" s="1"/>
  <c r="BX135" i="28"/>
  <c r="BW135" i="28"/>
  <c r="AM222" i="28"/>
  <c r="AM238" i="28" s="1"/>
  <c r="AM239" i="28" s="1"/>
  <c r="U97" i="28"/>
  <c r="BX172" i="28"/>
  <c r="AK222" i="28"/>
  <c r="AK238" i="28" s="1"/>
  <c r="AK239" i="28" s="1"/>
  <c r="AJ98" i="28"/>
  <c r="AI98" i="28" s="1"/>
  <c r="BW98" i="28" s="1"/>
  <c r="AJ97" i="28"/>
  <c r="AI97" i="28" s="1"/>
  <c r="BW97" i="28" s="1"/>
  <c r="AX222" i="28"/>
  <c r="AX238" i="28" s="1"/>
  <c r="AX239" i="28" s="1"/>
  <c r="AJ47" i="28"/>
  <c r="AI47" i="28" s="1"/>
  <c r="BX47" i="28" s="1"/>
  <c r="BW164" i="28"/>
  <c r="S57" i="28"/>
  <c r="U57" i="28" s="1"/>
  <c r="BK222" i="28"/>
  <c r="BK238" i="28" s="1"/>
  <c r="BK239" i="28" s="1"/>
  <c r="S27" i="28"/>
  <c r="U27" i="28" s="1"/>
  <c r="AJ59" i="28"/>
  <c r="AI59" i="28" s="1"/>
  <c r="BX59" i="28" s="1"/>
  <c r="AJ110" i="28"/>
  <c r="AI110" i="28" s="1"/>
  <c r="T89" i="28"/>
  <c r="BX209" i="28"/>
  <c r="BX49" i="28"/>
  <c r="BW49" i="28"/>
  <c r="BW55" i="28"/>
  <c r="BX55" i="28"/>
  <c r="AJ68" i="28"/>
  <c r="AI68" i="28" s="1"/>
  <c r="BX68" i="28" s="1"/>
  <c r="AJ24" i="28"/>
  <c r="AI24" i="28" s="1"/>
  <c r="T82" i="28"/>
  <c r="U82" i="28" s="1"/>
  <c r="AJ69" i="28"/>
  <c r="AI69" i="28" s="1"/>
  <c r="BW69" i="28" s="1"/>
  <c r="AJ37" i="28"/>
  <c r="AI37" i="28" s="1"/>
  <c r="BX37" i="28" s="1"/>
  <c r="U55" i="28"/>
  <c r="T80" i="28"/>
  <c r="U80" i="28" s="1"/>
  <c r="S76" i="28"/>
  <c r="U76" i="28" s="1"/>
  <c r="AH12" i="28"/>
  <c r="AJ42" i="28"/>
  <c r="AI42" i="28" s="1"/>
  <c r="BW42" i="28" s="1"/>
  <c r="AJ88" i="28"/>
  <c r="AI88" i="28" s="1"/>
  <c r="BW88" i="28" s="1"/>
  <c r="BX27" i="28"/>
  <c r="T35" i="28"/>
  <c r="U35" i="28" s="1"/>
  <c r="U58" i="28"/>
  <c r="S66" i="28"/>
  <c r="U66" i="28" s="1"/>
  <c r="U70" i="28"/>
  <c r="AJ105" i="28"/>
  <c r="AI105" i="28" s="1"/>
  <c r="BW105" i="28" s="1"/>
  <c r="S69" i="28"/>
  <c r="U69" i="28" s="1"/>
  <c r="AJ84" i="28"/>
  <c r="AI84" i="28" s="1"/>
  <c r="U49" i="28"/>
  <c r="U31" i="28"/>
  <c r="AJ109" i="28"/>
  <c r="AI109" i="28" s="1"/>
  <c r="BW109" i="28" s="1"/>
  <c r="BV128" i="28"/>
  <c r="U85" i="28"/>
  <c r="BX67" i="28"/>
  <c r="T94" i="28"/>
  <c r="U94" i="28" s="1"/>
  <c r="V43" i="28"/>
  <c r="U34" i="28"/>
  <c r="AJ94" i="28"/>
  <c r="AI94" i="28" s="1"/>
  <c r="BX94" i="28" s="1"/>
  <c r="S30" i="28"/>
  <c r="U24" i="28"/>
  <c r="U105" i="28"/>
  <c r="AJ43" i="28"/>
  <c r="AI43" i="28" s="1"/>
  <c r="BW43" i="28" s="1"/>
  <c r="BW56" i="28"/>
  <c r="BX56" i="28"/>
  <c r="BW75" i="28"/>
  <c r="BX75" i="28"/>
  <c r="BX77" i="28"/>
  <c r="BW77" i="28"/>
  <c r="BX46" i="28"/>
  <c r="BW46" i="28"/>
  <c r="BW73" i="28"/>
  <c r="BX73" i="28"/>
  <c r="BW89" i="28"/>
  <c r="BX89" i="28"/>
  <c r="V42" i="28"/>
  <c r="U38" i="28"/>
  <c r="BW110" i="28"/>
  <c r="BX110" i="28"/>
  <c r="BW101" i="28"/>
  <c r="BX101" i="28"/>
  <c r="S50" i="28"/>
  <c r="U50" i="28" s="1"/>
  <c r="AJ50" i="28"/>
  <c r="AI50" i="28" s="1"/>
  <c r="BW60" i="28"/>
  <c r="BX60" i="28"/>
  <c r="S73" i="28"/>
  <c r="U73" i="28" s="1"/>
  <c r="T46" i="28"/>
  <c r="U46" i="28" s="1"/>
  <c r="T77" i="28"/>
  <c r="U77" i="28" s="1"/>
  <c r="U103" i="28"/>
  <c r="V33" i="28"/>
  <c r="BW194" i="28"/>
  <c r="AI197" i="28"/>
  <c r="BX197" i="28" s="1"/>
  <c r="BX194" i="28"/>
  <c r="BX81" i="28"/>
  <c r="BW81" i="28"/>
  <c r="BW45" i="28"/>
  <c r="BX45" i="28"/>
  <c r="BW82" i="28"/>
  <c r="BW30" i="28"/>
  <c r="BX30" i="28"/>
  <c r="U28" i="28"/>
  <c r="BW195" i="28"/>
  <c r="BX195" i="28"/>
  <c r="BW108" i="28"/>
  <c r="BX108" i="28"/>
  <c r="BW66" i="28"/>
  <c r="BX66" i="28"/>
  <c r="BW137" i="28"/>
  <c r="BX137" i="28"/>
  <c r="BW64" i="28"/>
  <c r="BX64" i="28"/>
  <c r="BX149" i="28"/>
  <c r="BW149" i="28"/>
  <c r="BW153" i="28" s="1"/>
  <c r="AI153" i="28"/>
  <c r="BW36" i="28"/>
  <c r="BX36" i="28"/>
  <c r="BW174" i="28"/>
  <c r="BX174" i="28"/>
  <c r="AI185" i="28"/>
  <c r="BW183" i="28"/>
  <c r="BX183" i="28"/>
  <c r="U68" i="28"/>
  <c r="BW138" i="28"/>
  <c r="BX138" i="28"/>
  <c r="AJ103" i="28"/>
  <c r="AI103" i="28" s="1"/>
  <c r="AJ74" i="28"/>
  <c r="AI74" i="28" s="1"/>
  <c r="AJ33" i="28"/>
  <c r="AI33" i="28" s="1"/>
  <c r="AJ39" i="28"/>
  <c r="AI39" i="28" s="1"/>
  <c r="S47" i="28"/>
  <c r="U47" i="28" s="1"/>
  <c r="BW79" i="28"/>
  <c r="BX79" i="28"/>
  <c r="BX54" i="28"/>
  <c r="BW54" i="28"/>
  <c r="U37" i="28"/>
  <c r="V94" i="28"/>
  <c r="BW40" i="28"/>
  <c r="BX40" i="28"/>
  <c r="U67" i="28"/>
  <c r="S25" i="28"/>
  <c r="U25" i="28" s="1"/>
  <c r="AJ25" i="28"/>
  <c r="U89" i="28"/>
  <c r="V51" i="28"/>
  <c r="T30" i="28"/>
  <c r="V30" i="28"/>
  <c r="T56" i="28"/>
  <c r="U56" i="28" s="1"/>
  <c r="U90" i="28"/>
  <c r="BX207" i="28"/>
  <c r="BW207" i="28"/>
  <c r="V104" i="28"/>
  <c r="AJ51" i="28"/>
  <c r="AI51" i="28" s="1"/>
  <c r="U51" i="28"/>
  <c r="BW171" i="28"/>
  <c r="BX171" i="28"/>
  <c r="AI176" i="28"/>
  <c r="BW100" i="28"/>
  <c r="BX100" i="28"/>
  <c r="AJ65" i="28"/>
  <c r="AI65" i="28" s="1"/>
  <c r="U109" i="28"/>
  <c r="U104" i="28"/>
  <c r="BW34" i="28"/>
  <c r="BX34" i="28"/>
  <c r="U32" i="28"/>
  <c r="BW208" i="28"/>
  <c r="BX208" i="28"/>
  <c r="BW35" i="28"/>
  <c r="BX35" i="28"/>
  <c r="BX31" i="28"/>
  <c r="BW31" i="28"/>
  <c r="BW32" i="28"/>
  <c r="BX32" i="28"/>
  <c r="BW80" i="28"/>
  <c r="BX80" i="28"/>
  <c r="U110" i="28"/>
  <c r="BW102" i="28"/>
  <c r="BX102" i="28"/>
  <c r="BW58" i="28"/>
  <c r="BX58" i="28"/>
  <c r="AJ38" i="28"/>
  <c r="AI38" i="28" s="1"/>
  <c r="BW85" i="28"/>
  <c r="BX85" i="28"/>
  <c r="BW206" i="28"/>
  <c r="BX206" i="28"/>
  <c r="AI141" i="28"/>
  <c r="BW90" i="28"/>
  <c r="BX90" i="28"/>
  <c r="U39" i="28"/>
  <c r="BX107" i="28"/>
  <c r="BW107" i="28"/>
  <c r="BW104" i="28"/>
  <c r="BX104" i="28"/>
  <c r="AJ99" i="28"/>
  <c r="AI99" i="28" s="1"/>
  <c r="BX204" i="28"/>
  <c r="BW204" i="28"/>
  <c r="AI220" i="28"/>
  <c r="BX196" i="28"/>
  <c r="BW196" i="28"/>
  <c r="V74" i="28"/>
  <c r="AJ52" i="28"/>
  <c r="AI52" i="28" s="1"/>
  <c r="S52" i="28"/>
  <c r="U52" i="28" s="1"/>
  <c r="T98" i="28"/>
  <c r="U98" i="28" s="1"/>
  <c r="BW91" i="28"/>
  <c r="BX91" i="28"/>
  <c r="BT222" i="28"/>
  <c r="BT238" i="28" s="1"/>
  <c r="BT239" i="28" s="1"/>
  <c r="T54" i="28"/>
  <c r="U54" i="28" s="1"/>
  <c r="S91" i="28"/>
  <c r="U91" i="28" s="1"/>
  <c r="BX76" i="28"/>
  <c r="BW76" i="28"/>
  <c r="F13" i="6"/>
  <c r="F14" i="6"/>
  <c r="F15" i="6"/>
  <c r="F12" i="6"/>
  <c r="BV234" i="28"/>
  <c r="BV237" i="28" s="1"/>
  <c r="AL239" i="28"/>
  <c r="AH17" i="28"/>
  <c r="AH238" i="28"/>
  <c r="AH239" i="28" s="1"/>
  <c r="B18" i="5"/>
  <c r="G18" i="5"/>
  <c r="C18" i="5"/>
  <c r="C7" i="6" s="1"/>
  <c r="E18" i="5"/>
  <c r="E22" i="5" s="1"/>
  <c r="C22" i="5"/>
  <c r="D26" i="29"/>
  <c r="J26" i="29" s="1"/>
  <c r="D18" i="5"/>
  <c r="D22" i="5" s="1"/>
  <c r="D45" i="29"/>
  <c r="J38" i="29"/>
  <c r="M38" i="29" s="1"/>
  <c r="C24" i="6"/>
  <c r="J11" i="29"/>
  <c r="D12" i="29"/>
  <c r="J12" i="29" s="1"/>
  <c r="H18" i="29"/>
  <c r="J13" i="29"/>
  <c r="F18" i="5"/>
  <c r="B31" i="6"/>
  <c r="J40" i="29"/>
  <c r="D41" i="29"/>
  <c r="J41" i="29" s="1"/>
  <c r="D31" i="29"/>
  <c r="J30" i="29"/>
  <c r="J34" i="29"/>
  <c r="D35" i="29"/>
  <c r="J35" i="29" s="1"/>
  <c r="J21" i="29"/>
  <c r="D22" i="29"/>
  <c r="I18" i="5"/>
  <c r="C28" i="6"/>
  <c r="C8" i="6"/>
  <c r="C12" i="6"/>
  <c r="K16" i="5"/>
  <c r="BW59" i="28" l="1"/>
  <c r="BW185" i="28"/>
  <c r="BX109" i="28"/>
  <c r="BX43" i="28"/>
  <c r="BW70" i="28"/>
  <c r="BX234" i="28"/>
  <c r="BW47" i="28"/>
  <c r="BX97" i="28"/>
  <c r="BX105" i="28"/>
  <c r="BX69" i="28"/>
  <c r="BX98" i="28"/>
  <c r="BW68" i="28"/>
  <c r="BW94" i="28"/>
  <c r="BX88" i="28"/>
  <c r="BV142" i="28"/>
  <c r="BV222" i="28" s="1"/>
  <c r="BV238" i="28" s="1"/>
  <c r="BV239" i="28" s="1"/>
  <c r="BX42" i="28"/>
  <c r="U30" i="28"/>
  <c r="V114" i="28"/>
  <c r="BW176" i="28"/>
  <c r="BW37" i="28"/>
  <c r="BW24" i="28"/>
  <c r="BX24" i="28"/>
  <c r="BX84" i="28"/>
  <c r="BW84" i="28"/>
  <c r="BW103" i="28"/>
  <c r="BX103" i="28"/>
  <c r="BW51" i="28"/>
  <c r="BX51" i="28"/>
  <c r="BX50" i="28"/>
  <c r="BW50" i="28"/>
  <c r="BX141" i="28"/>
  <c r="BW33" i="28"/>
  <c r="BX33" i="28"/>
  <c r="BW74" i="28"/>
  <c r="BX74" i="28"/>
  <c r="BW141" i="28"/>
  <c r="BW52" i="28"/>
  <c r="BX52" i="28"/>
  <c r="BX185" i="28"/>
  <c r="AH14" i="28"/>
  <c r="BW197" i="28"/>
  <c r="BX220" i="28"/>
  <c r="BW65" i="28"/>
  <c r="BX65" i="28"/>
  <c r="BW220" i="28"/>
  <c r="AI25" i="28"/>
  <c r="AJ116" i="28"/>
  <c r="AH9" i="28"/>
  <c r="BX99" i="28"/>
  <c r="BW99" i="28"/>
  <c r="BW38" i="28"/>
  <c r="BX38" i="28"/>
  <c r="BX176" i="28"/>
  <c r="AH13" i="28"/>
  <c r="AH11" i="28"/>
  <c r="BX153" i="28"/>
  <c r="AH16" i="28"/>
  <c r="BX39" i="28"/>
  <c r="BW39" i="28"/>
  <c r="BW240" i="28"/>
  <c r="BT240" i="28"/>
  <c r="AK240" i="28"/>
  <c r="AM240" i="28"/>
  <c r="AN240" i="28"/>
  <c r="AO240" i="28"/>
  <c r="AP240" i="28"/>
  <c r="AQ240" i="28"/>
  <c r="AR240" i="28"/>
  <c r="AS240" i="28"/>
  <c r="AT240" i="28"/>
  <c r="AU240" i="28"/>
  <c r="AV240" i="28"/>
  <c r="AW240" i="28"/>
  <c r="AX240" i="28"/>
  <c r="AY240" i="28"/>
  <c r="AZ240" i="28"/>
  <c r="BA240" i="28"/>
  <c r="BB240" i="28"/>
  <c r="BC240" i="28"/>
  <c r="BD240" i="28"/>
  <c r="BE240" i="28"/>
  <c r="BF240" i="28"/>
  <c r="BG240" i="28"/>
  <c r="BH240" i="28"/>
  <c r="BI240" i="28"/>
  <c r="BJ240" i="28"/>
  <c r="BK240" i="28"/>
  <c r="BL240" i="28"/>
  <c r="BM240" i="28"/>
  <c r="BN240" i="28"/>
  <c r="BO240" i="28"/>
  <c r="BP240" i="28"/>
  <c r="BQ240" i="28"/>
  <c r="BR240" i="28"/>
  <c r="BS240" i="28"/>
  <c r="BU240" i="28"/>
  <c r="AL240" i="28"/>
  <c r="BV240" i="28"/>
  <c r="H22" i="29"/>
  <c r="J22" i="29" s="1"/>
  <c r="M22" i="29" s="1"/>
  <c r="H31" i="29"/>
  <c r="C19" i="6"/>
  <c r="C22" i="6"/>
  <c r="C21" i="6"/>
  <c r="C15" i="6"/>
  <c r="C20" i="6"/>
  <c r="C14" i="6"/>
  <c r="C23" i="6"/>
  <c r="K18" i="5"/>
  <c r="D27" i="29"/>
  <c r="C13" i="6"/>
  <c r="C30" i="6"/>
  <c r="D43" i="29"/>
  <c r="D47" i="29" s="1"/>
  <c r="D18" i="29"/>
  <c r="J18" i="29" s="1"/>
  <c r="M18" i="29" s="1"/>
  <c r="A29" i="6"/>
  <c r="C31" i="6"/>
  <c r="AI115" i="28" l="1"/>
  <c r="AI116" i="28" s="1"/>
  <c r="AI128" i="28" s="1"/>
  <c r="AI142" i="28" s="1"/>
  <c r="AJ128" i="28"/>
  <c r="AJ142" i="28" s="1"/>
  <c r="AJ222" i="28" s="1"/>
  <c r="BW25" i="28"/>
  <c r="BX25" i="28"/>
  <c r="AH15" i="28"/>
  <c r="J31" i="29"/>
  <c r="M31" i="29"/>
  <c r="H27" i="29"/>
  <c r="BX142" i="28" l="1"/>
  <c r="AI222" i="28"/>
  <c r="BX222" i="28" s="1"/>
  <c r="BW115" i="28"/>
  <c r="BW116" i="28" s="1"/>
  <c r="BX115" i="28"/>
  <c r="J27" i="29"/>
  <c r="M27" i="29"/>
  <c r="BW128" i="28" l="1"/>
  <c r="BX116" i="28"/>
  <c r="AH7" i="28"/>
  <c r="BX128" i="28" l="1"/>
  <c r="BW142" i="28"/>
  <c r="BW222" i="28" s="1"/>
  <c r="AH10" i="28"/>
  <c r="BW238" i="28" l="1"/>
  <c r="AI239" i="28" l="1"/>
  <c r="BW239" i="2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Edita Aly</author>
  </authors>
  <commentList>
    <comment ref="G82" authorId="0" shapeId="0" xr:uid="{39215694-66AE-45D6-B2FD-3C2D90A34819}">
      <text>
        <r>
          <rPr>
            <sz val="10"/>
            <rFont val="Arial"/>
            <family val="2"/>
          </rPr>
          <t>Edita Aly:
NOT ON 2026 C.I.E CROSSWALK, BUT ON ECIRTS CIE_ID 11272 REPORT 1/1/26-12/31/2026</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<sst xmlns="http://schemas.openxmlformats.org/spreadsheetml/2006/main" count="10738" uniqueCount="1574">
  <si>
    <t>About This Contract Module File</t>
  </si>
  <si>
    <t>Summary of Tabs:</t>
  </si>
  <si>
    <t>C.I.A. - Summary of Funding for All Programs</t>
  </si>
  <si>
    <t xml:space="preserve">C.I.B. - Breakdown of OAA III-B Services </t>
  </si>
  <si>
    <t>C.I.C. - Service Units and Costs Projections by County</t>
  </si>
  <si>
    <r>
      <t xml:space="preserve">C.I.E. - Service Units and Cost Projections for the PSA
             </t>
    </r>
    <r>
      <rPr>
        <sz val="12"/>
        <rFont val="Times New Roman"/>
        <family val="1"/>
      </rPr>
      <t>This will be used to determine the statewide Service Rate Report in contracts.</t>
    </r>
  </si>
  <si>
    <t xml:space="preserve">C.I.E. Crosswalk - Year-to-Year Comparison of Services and Rates </t>
  </si>
  <si>
    <t>C.II.A. - AAA’s Operational Budget</t>
  </si>
  <si>
    <t>Cost Analysis - Line-Item Budget</t>
  </si>
  <si>
    <t>C.II.B. - OAA Budget Summary</t>
  </si>
  <si>
    <t>C.II.C. - Audit Schedule</t>
  </si>
  <si>
    <t>C.III. - AAA Subcontractor Monitoring Schedule</t>
  </si>
  <si>
    <t>C.IV. - Contract Providers</t>
  </si>
  <si>
    <r>
      <t>Instructions:</t>
    </r>
    <r>
      <rPr>
        <sz val="12"/>
        <rFont val="Times New Roman"/>
        <family val="1"/>
      </rPr>
      <t xml:space="preserve">
1. All information needed in the Contract Module portion of your area plan should be placed in this Excel workbook (Contract Module.xls) or a separate file referenced in this workbook. If you want to include additional information in this workbook, you may insert the information in one or more new worksheets. Worksheets can be created/inserted by selecting "Worksheet" from the Insert menu.  If you want to link to other files, the names of the files must be referenced in the Attachments tab in this workbook. Add the names of additional worksheets included in the workbook to the list of attachments. Do not include in the list of attachments worksheets that are already provided in the Contract Module.
</t>
    </r>
  </si>
  <si>
    <t>2. Enter your PSA number on the first page in the blank next to "PSA" and in the first row of each worksheet next to the text "PSA." If you are entering information for the original submittal of the contract module for the year, enter the date the file will be submitted to the Department next to the text "Original Submission Date." If you are updating information in the worksheet after the original submission, do not change the original submission date; instead enter the date the contract module is being resubmitted next to the text "Resubmission Date."</t>
  </si>
  <si>
    <r>
      <t xml:space="preserve">3. Instructions have been included in italics in a row at the top of most worksheets.  After completing the contract module, we recommend the </t>
    </r>
    <r>
      <rPr>
        <i/>
        <sz val="12"/>
        <rFont val="Times New Roman"/>
        <family val="1"/>
      </rPr>
      <t>Instructions</t>
    </r>
    <r>
      <rPr>
        <sz val="12"/>
        <rFont val="Times New Roman"/>
        <family val="1"/>
      </rPr>
      <t xml:space="preserve"> row in each worksheet be hidden to make the document more readable. To hide the row, highlight the row and select "Row/Hide" from the Format menu.</t>
    </r>
  </si>
  <si>
    <t>General Information About Colors Used in This Workbook</t>
  </si>
  <si>
    <t>Cells in this workbook are color coded as follows:</t>
  </si>
  <si>
    <t xml:space="preserve">Purple cells are calculated (contain formulas). Data should not be typed into purple cells. </t>
  </si>
  <si>
    <t xml:space="preserve">Yellow cells require your input. The information should come directly from the allocation spreadsheet issued by the Department. </t>
  </si>
  <si>
    <t xml:space="preserve">Aqua fields require your input, if applicable.  </t>
  </si>
  <si>
    <r>
      <t>Gray cross-hatched cells are not applicable and should not be updated</t>
    </r>
    <r>
      <rPr>
        <b/>
        <sz val="10"/>
        <rFont val="Times New Roman"/>
        <family val="1"/>
      </rPr>
      <t>.</t>
    </r>
  </si>
  <si>
    <t xml:space="preserve">PSA:                    Original Submission Date:                                     </t>
  </si>
  <si>
    <t>:)</t>
  </si>
  <si>
    <t xml:space="preserve">C.I.A. -  Allocation to the Planning and Service Area </t>
  </si>
  <si>
    <t xml:space="preserve">This worksheet documents all funds allocated to the PSA. The “Original Allocation” row contains the continuation budget amount issued in the original contract for the year. The amount on this line does not change. The “Revised Allocation” line is the amount of the allocations after the actual federal grant award for the year is received. It is also where subsequent changes in allocations via contract amendments are reflected.  </t>
  </si>
  <si>
    <r>
      <t xml:space="preserve">Less (-) Transfer Amount </t>
    </r>
    <r>
      <rPr>
        <sz val="12"/>
        <rFont val="Times New Roman"/>
        <family val="1"/>
      </rPr>
      <t xml:space="preserve">and </t>
    </r>
    <r>
      <rPr>
        <b/>
        <sz val="12"/>
        <rFont val="Times New Roman"/>
        <family val="1"/>
      </rPr>
      <t xml:space="preserve">Plus (+) Transfer Amount </t>
    </r>
    <r>
      <rPr>
        <sz val="12"/>
        <rFont val="Times New Roman"/>
        <family val="1"/>
      </rPr>
      <t xml:space="preserve">contain transfers between titles. The amounts must be within allowable percentages: B to C or C to B can be no more than 30 percent (i.e., B ↔ [C1+C2]); amounts transferred between C1 and C2 can be no more than 40 percent of the source title (not the combined amount of [C1+C2]). </t>
    </r>
    <r>
      <rPr>
        <b/>
        <sz val="12"/>
        <rFont val="Times New Roman"/>
        <family val="1"/>
      </rPr>
      <t>Adjusted Amount</t>
    </r>
    <r>
      <rPr>
        <sz val="12"/>
        <rFont val="Times New Roman"/>
        <family val="1"/>
      </rPr>
      <t xml:space="preserve"> is the total after the transfers. </t>
    </r>
    <r>
      <rPr>
        <b/>
        <sz val="12"/>
        <rFont val="Times New Roman"/>
        <family val="1"/>
      </rPr>
      <t>Carry Forward Funds</t>
    </r>
    <r>
      <rPr>
        <sz val="12"/>
        <rFont val="Times New Roman"/>
        <family val="1"/>
      </rPr>
      <t xml:space="preserve"> must be exact amounts and allocated to the titles in which they were awarded.</t>
    </r>
    <r>
      <rPr>
        <sz val="12"/>
        <color rgb="FFFF0000"/>
        <rFont val="Times New Roman"/>
        <family val="1"/>
      </rPr>
      <t xml:space="preserve"> (NOTE: Carry Forward Funds are not entered at the time of the Area Plan submission, but later during contract amendments after closeout has been completed.) </t>
    </r>
    <r>
      <rPr>
        <b/>
        <sz val="12"/>
        <rFont val="Times New Roman"/>
        <family val="1"/>
      </rPr>
      <t>Total Funds</t>
    </r>
    <r>
      <rPr>
        <sz val="12"/>
        <rFont val="Times New Roman"/>
        <family val="1"/>
      </rPr>
      <t xml:space="preserve"> equals the total after all adjustments have been made. </t>
    </r>
    <r>
      <rPr>
        <b/>
        <sz val="12"/>
        <rFont val="Times New Roman"/>
        <family val="1"/>
      </rPr>
      <t xml:space="preserve">Total OAA </t>
    </r>
    <r>
      <rPr>
        <sz val="12"/>
        <rFont val="Times New Roman"/>
        <family val="1"/>
      </rPr>
      <t xml:space="preserve">plus the </t>
    </r>
    <r>
      <rPr>
        <b/>
        <sz val="12"/>
        <rFont val="Times New Roman"/>
        <family val="1"/>
      </rPr>
      <t xml:space="preserve">GR AAA admin </t>
    </r>
    <r>
      <rPr>
        <sz val="12"/>
        <rFont val="Times New Roman"/>
        <family val="1"/>
      </rPr>
      <t xml:space="preserve">will equal the contract amount. </t>
    </r>
    <r>
      <rPr>
        <b/>
        <sz val="12"/>
        <rFont val="Times New Roman"/>
        <family val="1"/>
      </rPr>
      <t xml:space="preserve">State General Revenue Allocations </t>
    </r>
    <r>
      <rPr>
        <sz val="12"/>
        <rFont val="Times New Roman"/>
        <family val="1"/>
      </rPr>
      <t xml:space="preserve">and </t>
    </r>
    <r>
      <rPr>
        <b/>
        <sz val="12"/>
        <rFont val="Times New Roman"/>
        <family val="1"/>
      </rPr>
      <t xml:space="preserve">Supplemental Resource Activities (State, Federal, and Private) </t>
    </r>
    <r>
      <rPr>
        <sz val="12"/>
        <rFont val="Times New Roman"/>
        <family val="1"/>
      </rPr>
      <t xml:space="preserve">should match current contract amounts and the amounts detailed in eCIRTS.  </t>
    </r>
    <r>
      <rPr>
        <b/>
        <sz val="12"/>
        <rFont val="Times New Roman"/>
        <family val="1"/>
      </rPr>
      <t xml:space="preserve">Transfer Amount </t>
    </r>
    <r>
      <rPr>
        <sz val="12"/>
        <rFont val="Times New Roman"/>
        <family val="1"/>
      </rPr>
      <t>sums up transfers recorded in previous four columns.</t>
    </r>
  </si>
  <si>
    <t>Instructions:
Update all yellow and aqua-colored cells as appropriate. Purple cells are calculated automatically. For Title IIIB, C1, and C2, include the total amount for Title IIIB, C1, and C2 services in the table.  Indicate below the table, the portion of the total maintained by the AAA as Title IIIB LAN set aside and Title IIIB, C1, and C2 Disaster Recovery Reserves. The Title IIIB LAN set aside currently approved by the Department cannot be increased. The Title IIIB, CI, and CII Disaster Recovery Reserves must remain in reserve until the need arises, when the Department will issue further guidance.  In accordance with the requirement for Area Agencies to describe all activities of the Agency, whether funded by public or private funds, and ensuring the Agency is managing the availability of financial resources for programs and services used to carry out programs for the elderly the operating budget must include ALL of the sources of funding and be included in the spreadsheets. (OAA and Chapter 430.2053, F.S) (Board and other non-DOEA funds should go under OTHERS.)</t>
  </si>
  <si>
    <t xml:space="preserve">      C.1.A - FEDERAL ALLOCATION TO THE PLANNING AND SERVICE AREA  </t>
  </si>
  <si>
    <t>OAA FEDERAL FUNDING</t>
  </si>
  <si>
    <t>AAA</t>
  </si>
  <si>
    <t>TITLE</t>
  </si>
  <si>
    <t>TRANSFER</t>
  </si>
  <si>
    <t>TOTAL OAA</t>
  </si>
  <si>
    <t>COMPOSITION</t>
  </si>
  <si>
    <t>ADMIN</t>
  </si>
  <si>
    <t>IIIB</t>
  </si>
  <si>
    <t>IIIC1</t>
  </si>
  <si>
    <t>IIIC2</t>
  </si>
  <si>
    <t>AMOUNT</t>
  </si>
  <si>
    <t>IIID</t>
  </si>
  <si>
    <t>IIIE</t>
  </si>
  <si>
    <t>NSIP</t>
  </si>
  <si>
    <t>VII</t>
  </si>
  <si>
    <t>Minus VII</t>
  </si>
  <si>
    <t>Original Allocation
FFY 2026-2027</t>
  </si>
  <si>
    <t>Revised Allocation
FFY 2026-2027</t>
  </si>
  <si>
    <t>Less (-)
Transfer Amount</t>
  </si>
  <si>
    <t>Plus (+)
Transfer Amount</t>
  </si>
  <si>
    <t>Adjusted Amount
FFY 2026-2027</t>
  </si>
  <si>
    <t>Carry Forward Funds
FFY 2026-2027</t>
  </si>
  <si>
    <t>TOTAL FUNDS</t>
  </si>
  <si>
    <r>
      <t xml:space="preserve">Title III B Total Funds include </t>
    </r>
    <r>
      <rPr>
        <b/>
        <sz val="12"/>
        <rFont val="Times New Roman"/>
        <family val="1"/>
      </rPr>
      <t>$</t>
    </r>
  </si>
  <si>
    <t xml:space="preserve"> in set aside funds (included in the Title III B column).</t>
  </si>
  <si>
    <r>
      <t xml:space="preserve">Disaster Recovery Reserves include </t>
    </r>
    <r>
      <rPr>
        <b/>
        <sz val="12"/>
        <rFont val="Times New Roman"/>
        <family val="1"/>
      </rPr>
      <t>$</t>
    </r>
  </si>
  <si>
    <t>in set-aside funds (included in IIIB, C1, and C2 columns).</t>
  </si>
  <si>
    <r>
      <t xml:space="preserve">Total Service Funds for C.I.C. &amp; C.I.E. </t>
    </r>
    <r>
      <rPr>
        <b/>
        <sz val="12"/>
        <rFont val="Times New Roman"/>
        <family val="1"/>
      </rPr>
      <t xml:space="preserve">$ </t>
    </r>
  </si>
  <si>
    <t xml:space="preserve"> STATE GENERAL REVENUE ALLOCATION TO THE PLANNING AND SERVICE AREA  </t>
  </si>
  <si>
    <r>
      <t xml:space="preserve">The </t>
    </r>
    <r>
      <rPr>
        <b/>
        <sz val="12"/>
        <rFont val="Times New Roman"/>
        <family val="1"/>
      </rPr>
      <t>State General Revenue Allocations</t>
    </r>
    <r>
      <rPr>
        <sz val="12"/>
        <rFont val="Times New Roman"/>
        <family val="1"/>
      </rPr>
      <t xml:space="preserve"> and </t>
    </r>
    <r>
      <rPr>
        <b/>
        <sz val="12"/>
        <rFont val="Times New Roman"/>
        <family val="1"/>
      </rPr>
      <t>Supplemental Resource Activities (State, Federal, and Private)</t>
    </r>
    <r>
      <rPr>
        <sz val="12"/>
        <rFont val="Times New Roman"/>
        <family val="1"/>
      </rPr>
      <t xml:space="preserve"> below should match current contract amounts.</t>
    </r>
  </si>
  <si>
    <t>STATE GENERAL REVENUE ALLOCATIONS</t>
  </si>
  <si>
    <t xml:space="preserve"> SUPPLEMENTAL RESOURCE ACTIVITIES 
(STATE, FEDERAL &amp; PRIVATE)</t>
  </si>
  <si>
    <t>FUNDING COMPOSITION</t>
  </si>
  <si>
    <t>SFY 2026-2027</t>
  </si>
  <si>
    <t>SOURCE OF FUNDING</t>
  </si>
  <si>
    <t>GR AMOUNTS</t>
  </si>
  <si>
    <t>OF FUNDING</t>
  </si>
  <si>
    <t>AAA ADMINISTRATION</t>
  </si>
  <si>
    <t>MED WAIVER SPECIALIST</t>
  </si>
  <si>
    <t>CCE ADMINISTRATION</t>
  </si>
  <si>
    <t>ADRC (MAC)</t>
  </si>
  <si>
    <t>CCE SERVICES</t>
  </si>
  <si>
    <t>SHINE</t>
  </si>
  <si>
    <t>HCE ADMINISTRATION</t>
  </si>
  <si>
    <t>MIPPA</t>
  </si>
  <si>
    <t>HCE SUBSIDY &amp; CASE MANAGEMENT</t>
  </si>
  <si>
    <t>SMP</t>
  </si>
  <si>
    <t>ADI ADMINISTRATION</t>
  </si>
  <si>
    <t>RELIEF</t>
  </si>
  <si>
    <t>EHEAP</t>
  </si>
  <si>
    <t>ADI SERVICES</t>
  </si>
  <si>
    <t>VETERAN AFFAIRS</t>
  </si>
  <si>
    <t>LSP ADMINISTRATION</t>
  </si>
  <si>
    <t>HUD</t>
  </si>
  <si>
    <t>LSP SERVICES</t>
  </si>
  <si>
    <t xml:space="preserve">C.I.B. - OAA TITLE IIIB Services Expenditures </t>
  </si>
  <si>
    <r>
      <rPr>
        <b/>
        <sz val="12"/>
        <rFont val="Times New Roman"/>
        <family val="1"/>
      </rPr>
      <t xml:space="preserve">This worksheet documents OAA Title IIIB expenditures by service, with services categorized as priority services or non-priority services. </t>
    </r>
    <r>
      <rPr>
        <i/>
        <sz val="12"/>
        <rFont val="Times New Roman"/>
        <family val="1"/>
      </rPr>
      <t xml:space="preserve">
</t>
    </r>
    <r>
      <rPr>
        <b/>
        <i/>
        <sz val="12"/>
        <rFont val="Times New Roman"/>
        <family val="1"/>
      </rPr>
      <t>Instructions:</t>
    </r>
    <r>
      <rPr>
        <i/>
        <sz val="12"/>
        <rFont val="Times New Roman"/>
        <family val="1"/>
      </rPr>
      <t xml:space="preserve"> Update all aqua-colored cells as appropriate.  Purple cells are calculated automatically. Funds allocated for Access Services, In-Home Services, and Legal Assistance must be equal to or greater than the following percentages of the total Title IIIB Priority Services: Access services (20 percent), In-Home (8 percent), and Legal Assistance (1 percent)
The "% of Total IIIB Allocation" column total is calculated.  The total funds allocated on this sheet are divided by the total IIIB funds calculated on C.I.A.</t>
    </r>
    <r>
      <rPr>
        <b/>
        <i/>
        <sz val="12"/>
        <rFont val="Times New Roman"/>
        <family val="1"/>
      </rPr>
      <t xml:space="preserve">
</t>
    </r>
    <r>
      <rPr>
        <i/>
        <sz val="12"/>
        <rFont val="Times New Roman"/>
        <family val="1"/>
      </rPr>
      <t>The percentage in the "Total IIIB" row at the bottom must equal 100 percent. If  it does not, the amounts entered in the "Funds Allocated" column do not match those entered on tab C.I.A.
IIIB LAN Set Aside and IIIB, C1, and C2 Disaster Recovery Reserve totals are calculated automatically, and included in the "Total IIIB".
IIIB Non-Priority Services needs to include other funds allocated to the AAA not included in IIIB Priority Services.</t>
    </r>
  </si>
  <si>
    <t>Title IIIB Expenditures</t>
  </si>
  <si>
    <t>Funds Allocated</t>
  </si>
  <si>
    <t>% of Total IIIB Allocation</t>
  </si>
  <si>
    <t># Units of Services Provided</t>
  </si>
  <si>
    <t># of Unduplicated Consumers Served</t>
  </si>
  <si>
    <t>% of Total 60+ Population*</t>
  </si>
  <si>
    <t>LAN Set-Aside</t>
  </si>
  <si>
    <t>Disaster Recovery Reserve</t>
  </si>
  <si>
    <t>IIIB Priority Services</t>
  </si>
  <si>
    <t>Access Services</t>
  </si>
  <si>
    <t>Information</t>
  </si>
  <si>
    <t>Referral</t>
  </si>
  <si>
    <t>Outreach</t>
  </si>
  <si>
    <t>Transportation</t>
  </si>
  <si>
    <t>Subtotal</t>
  </si>
  <si>
    <t>= amount allocated for Access Services (must be equal to or greater than 20%)</t>
  </si>
  <si>
    <t>In-Home Services</t>
  </si>
  <si>
    <t>Homemaker</t>
  </si>
  <si>
    <t>Personal Care</t>
  </si>
  <si>
    <t>In-Home Respite</t>
  </si>
  <si>
    <t>Chore</t>
  </si>
  <si>
    <t>Companionship</t>
  </si>
  <si>
    <t>Telephone Reass.</t>
  </si>
  <si>
    <t>= amount allocated for In-Home Services (must be equal to or greater than 8%)</t>
  </si>
  <si>
    <t>Legal Assistance</t>
  </si>
  <si>
    <t>= amount allocated for Legal Services (must be equal to or greater than 3%)</t>
  </si>
  <si>
    <t>IIIB Non-Priority Services</t>
  </si>
  <si>
    <t xml:space="preserve">Total  IIIB </t>
  </si>
  <si>
    <t>* To have % total 60+ population computed, enter 60+ population:</t>
  </si>
  <si>
    <t xml:space="preserve">PSA:5                    Original Submission Date:                                     </t>
  </si>
  <si>
    <t>C.I.C. - Service Units and Costs Projections - PSA Summary</t>
  </si>
  <si>
    <r>
      <t>This worksheet lists the actual unit rate (what providers report as their actual costs to provide a unit of service) and the adjusted unit rate (the negotiated unit rate/what the Area Agency on Aging agrees to pay for a unit of service) for each service provider under direct contract with the AAA</t>
    </r>
    <r>
      <rPr>
        <sz val="8"/>
        <rFont val="Times New Roman"/>
        <family val="1"/>
      </rPr>
      <t>.</t>
    </r>
    <r>
      <rPr>
        <sz val="12"/>
        <rFont val="Times New Roman"/>
        <family val="1"/>
      </rPr>
      <t xml:space="preserve">
</t>
    </r>
    <r>
      <rPr>
        <b/>
        <sz val="12"/>
        <rFont val="Times New Roman"/>
        <family val="1"/>
      </rPr>
      <t>Services provided directly by the AAA must also be included and reflect county allocations</t>
    </r>
    <r>
      <rPr>
        <sz val="12"/>
        <rFont val="Times New Roman"/>
        <family val="1"/>
      </rPr>
      <t xml:space="preserve">.
</t>
    </r>
    <r>
      <rPr>
        <b/>
        <sz val="12"/>
        <rFont val="Times New Roman"/>
        <family val="1"/>
      </rPr>
      <t>Service projections (State/Federal Share) must be included for each service and the total of the State/Federal Share must equal the total service funds for each program, as reported on the C.I.A.</t>
    </r>
  </si>
  <si>
    <r>
      <rPr>
        <b/>
        <sz val="12"/>
        <color rgb="FF000000"/>
        <rFont val="Times New Roman"/>
        <family val="1"/>
      </rPr>
      <t xml:space="preserve">Instructions: Part A - C.I.C. Service Units and Cost Projections - PSA Summary
</t>
    </r>
    <r>
      <rPr>
        <i/>
        <sz val="12"/>
        <color rgb="FF000000"/>
        <rFont val="Times New Roman"/>
        <family val="1"/>
      </rPr>
      <t xml:space="preserve">C.I.C. Service Units and Cost Projections - PSA Summary:
Run a report in eCIRTS for each OAA Title III program: 
Type in Start Date and End Date: 01/01/2027 to 12/31/2027;
Select PSA; 
Select Program (O3C1, O3C2, OA3B, OA3D, OA3E, OA3EG, and OA3ES). </t>
    </r>
  </si>
  <si>
    <r>
      <rPr>
        <b/>
        <sz val="12"/>
        <rFont val="Times New Roman"/>
        <family val="1"/>
      </rPr>
      <t xml:space="preserve">Instructions: Inserting Data Into This Spreadsheet
</t>
    </r>
    <r>
      <rPr>
        <sz val="12"/>
        <rFont val="Times New Roman"/>
        <family val="1"/>
      </rPr>
      <t xml:space="preserve">In order to insert the data into this template, each time you run a report for an OAA Title III program, select the Save button (which looks like a disc) and select CSV (comma delimited) which will download the report into Excel. 
Copy the data from the report and insert it below. Please be sure to add the program name (O3C1, etc.) to Column A to distinguish each program. Please also </t>
    </r>
    <r>
      <rPr>
        <b/>
        <sz val="12"/>
        <rFont val="Times New Roman"/>
        <family val="1"/>
      </rPr>
      <t>add a subtotal row for each program you have pasted into this spreadsheet.</t>
    </r>
    <r>
      <rPr>
        <sz val="12"/>
        <rFont val="Times New Roman"/>
        <family val="1"/>
      </rPr>
      <t xml:space="preserve">
Repeat this process for each report you run pasting your data below any data previously entered into this spreadsheet.
Once you have completed inserting all your data into this spreadsheet, you can adjust the column headings to accommodate the labels from the data you've imported.</t>
    </r>
  </si>
  <si>
    <t>Start Date and End Date parameters should align with state and federal contract years.</t>
  </si>
  <si>
    <t>Federal contracts run from January-December. General Revenue contracts run from July-June.</t>
  </si>
  <si>
    <t xml:space="preserve">PSA </t>
  </si>
  <si>
    <t>Start Date:</t>
  </si>
  <si>
    <t>End Date:</t>
  </si>
  <si>
    <t xml:space="preserve">Program </t>
  </si>
  <si>
    <t>ADI</t>
  </si>
  <si>
    <t>PSA</t>
  </si>
  <si>
    <t>County</t>
  </si>
  <si>
    <t>Provider</t>
  </si>
  <si>
    <t>Service</t>
  </si>
  <si>
    <t>Service Description</t>
  </si>
  <si>
    <t>State/Federal Share</t>
  </si>
  <si>
    <t>Avg Reimbursement Unit Rate</t>
  </si>
  <si>
    <t>Max Reimbursement Unit Rate</t>
  </si>
  <si>
    <t>Max Provider
Unit Cost</t>
  </si>
  <si>
    <t>PASCO</t>
  </si>
  <si>
    <t>21305 - ADT SECURITY SERVICES, INC. (Pasco)</t>
  </si>
  <si>
    <t>EAR</t>
  </si>
  <si>
    <t>Emergency Alert Response</t>
  </si>
  <si>
    <t> </t>
  </si>
  <si>
    <t xml:space="preserve">Provider Total: </t>
  </si>
  <si>
    <t>21314 - GUARDIAN MEDICAL MONITORING,LLC (Pasco)</t>
  </si>
  <si>
    <t>21318 - ABC PEST CONTROL (Pasco)</t>
  </si>
  <si>
    <t>OTH</t>
  </si>
  <si>
    <t>OTH OTHER SERVICES</t>
  </si>
  <si>
    <t>PECI</t>
  </si>
  <si>
    <t xml:space="preserve">PECI PEST CONTROL INITIAL  </t>
  </si>
  <si>
    <t>PECM</t>
  </si>
  <si>
    <t>PECM PEST CONTROL MAINTENANCE</t>
  </si>
  <si>
    <t>ROCI</t>
  </si>
  <si>
    <t>ROCI PEST CONTROL (RODENT CONTROL)</t>
  </si>
  <si>
    <t>21327 - PASCO COUNTY SENIOR SERVICES</t>
  </si>
  <si>
    <t>CA</t>
  </si>
  <si>
    <t>CA CASE AIDE</t>
  </si>
  <si>
    <t>CM</t>
  </si>
  <si>
    <t>CM CASE MANAGEMENT</t>
  </si>
  <si>
    <t>21333 - PETERSON COUNSELING &amp; CONSULTING,INC. (52700-395)</t>
  </si>
  <si>
    <t>MHSI</t>
  </si>
  <si>
    <t>MHSI COUNSELING (MENTAL HEALTH COUNSELING/SCREENING) - INDIVIDUAL</t>
  </si>
  <si>
    <t>21335 - PERSONAL RESPONSE CORPORATION (Pasco)</t>
  </si>
  <si>
    <t>21348 - EMPATH FOR YOU, LLC (52700-510)</t>
  </si>
  <si>
    <t>COMP</t>
  </si>
  <si>
    <t>COMP COMPANIONSHIP</t>
  </si>
  <si>
    <t>HMK</t>
  </si>
  <si>
    <t>HMK Homemaker</t>
  </si>
  <si>
    <t>PECA</t>
  </si>
  <si>
    <t>PECA PERSONAL CARE</t>
  </si>
  <si>
    <t>RESP</t>
  </si>
  <si>
    <t>RESP RESPITE IN-HOME</t>
  </si>
  <si>
    <t>21352 - VEBEACH ENTERPRISE LLC DBA SENIORS HELPING SENIORS (52700-514)</t>
  </si>
  <si>
    <t>21710 - CATALANO'S NURSE REGISTRY (53700-19G)</t>
  </si>
  <si>
    <t>CHO</t>
  </si>
  <si>
    <t>CHO CHORE</t>
  </si>
  <si>
    <t>ECHO</t>
  </si>
  <si>
    <t>ECHO CHORE (ENHANCED)</t>
  </si>
  <si>
    <t>ESC</t>
  </si>
  <si>
    <t>ESC ESCORT</t>
  </si>
  <si>
    <t>HN</t>
  </si>
  <si>
    <t>HN SKILLED NURSING SERVICES</t>
  </si>
  <si>
    <t>21711 - ANGELS UNIQUE (53700-254)</t>
  </si>
  <si>
    <t>21713 - SUMMIT HOME HEALTHCARE PRODUCTS (53700-30G)</t>
  </si>
  <si>
    <t>SCSM</t>
  </si>
  <si>
    <t>SCSM SPECIALIZED MEDICAL EQUIPMENT, SERVICES, AND SUPPLIES</t>
  </si>
  <si>
    <t>21721 - GTB HOME HEALTHCARE SOLUTIONS, INC. DBA HOME CARE NOW (53700-367)</t>
  </si>
  <si>
    <t>CTSI</t>
  </si>
  <si>
    <t>CTSI CAREGIVER TRAIN/SUPPORT (INDV)</t>
  </si>
  <si>
    <t>21727 - PASCO COUNTY BOARD OF COUNTY COMMISSIONERS DBA PASCO COUNTY SENIOR SERVICES</t>
  </si>
  <si>
    <t>EHDM</t>
  </si>
  <si>
    <t>EHDM EMERGENCY HOME DELIVERED SHELF MEALS</t>
  </si>
  <si>
    <t>EHDMN</t>
  </si>
  <si>
    <t>EHDMN EMERGENCY HOME DELIVERED SHELF MEALS - NON-CO-PAYMENT</t>
  </si>
  <si>
    <t>HDM</t>
  </si>
  <si>
    <t>HDM HOME DELIVERED MEALS</t>
  </si>
  <si>
    <t>HDMN</t>
  </si>
  <si>
    <t>HDMN HOME DELIVERED MEALS - NON-CO-PAYMENT</t>
  </si>
  <si>
    <t>21728 - PASCO COUNTY PUBLIC TRANSPORTATION (53700-377)</t>
  </si>
  <si>
    <t>TRS</t>
  </si>
  <si>
    <t>TRS TRANSPORTATION</t>
  </si>
  <si>
    <t>21733 - FOUR MURPHY'S,LLC DBA HOME INSTEAD SENIOR CARE (53700-384)</t>
  </si>
  <si>
    <t>21734 - PETERSON COUNSELING &amp; CONSULTING,INC. (53700-395)</t>
  </si>
  <si>
    <t>21737 - RELIANCE HOME CARE LLC DBA FIRSTLIGHT HOME CARE (53700-402)</t>
  </si>
  <si>
    <t>21738 - EASY LIVING,INC. (53700-403)</t>
  </si>
  <si>
    <t>21740 - PASCO SENIOR HOME CARE DBA HOME INSTEAD SENIOR CARE (53700-405)</t>
  </si>
  <si>
    <t>21742 - OPAL ROSE HOME CARE AND COMPANION SERVICES, LLC (53700-409)</t>
  </si>
  <si>
    <t>21744 - TLC ADULT DAY CARE AND RECREATION CENTER, INC (53700-41T)</t>
  </si>
  <si>
    <t>ADCO</t>
  </si>
  <si>
    <t>ADCO ADULT DAY CARE - DAYS</t>
  </si>
  <si>
    <t>RESF</t>
  </si>
  <si>
    <t>RESF RESPITE IN-FACILITY</t>
  </si>
  <si>
    <t>21746 - A PALMS PERSONAL CARE &amp; HOMEMAKING SERVICES (53700-511)</t>
  </si>
  <si>
    <t>21748 - M &amp; M HEALTH HOLDINGS DBA MIND &amp; MOBILITY (53700-513)</t>
  </si>
  <si>
    <t>21749 - WRIGHTWAY CONSULTING (53700-518)</t>
  </si>
  <si>
    <t>HOIM</t>
  </si>
  <si>
    <t>HOIM HOUSING IMPROVEMENT</t>
  </si>
  <si>
    <t>MATE</t>
  </si>
  <si>
    <t>MATE MATERIAL AID</t>
  </si>
  <si>
    <t>21750 - AGELESS PLACEMENTS, INC. (53700-53G)</t>
  </si>
  <si>
    <t>21752 - HOME HEALTH WORKS, LLC (53700-70G)</t>
  </si>
  <si>
    <t>RRFA</t>
  </si>
  <si>
    <t>RRFA FINANCIAL RISK REDUCTION (ASSESSMENT)</t>
  </si>
  <si>
    <t>RRFM</t>
  </si>
  <si>
    <t>RRFM FINANCIAL RISK REDUCTION (MAINTENANCE)</t>
  </si>
  <si>
    <t>21753 - HEALTH AID COMPANY, INC. (53700-75G)</t>
  </si>
  <si>
    <t>22222 - AREA AGENCY ON AGING PASCO-PINELLAS (59999-01)</t>
  </si>
  <si>
    <t>INSC</t>
  </si>
  <si>
    <t>INSC INTAKE</t>
  </si>
  <si>
    <t>VSC</t>
  </si>
  <si>
    <t>VSC VENDOR SUBCONTRACTOR SERVICES - FOR AREA PLAN ONLY</t>
  </si>
  <si>
    <t>32248 - Purfoods, LLC dba Mom’s Meals (Pasco)</t>
  </si>
  <si>
    <t>32252 - CARING COMMUNITY COUSELING LLC (53700-95)</t>
  </si>
  <si>
    <t>GECI</t>
  </si>
  <si>
    <t>GECI COUNSELING (GERONTOLOGICAL) - INDIVIDUAL</t>
  </si>
  <si>
    <t>32264 - Phoenix Pro Management, Inc. (Pasco)</t>
  </si>
  <si>
    <t>32289 - SENIOR HOMECARE OPTIONS (Pasco)</t>
  </si>
  <si>
    <t>32307 - Jopa Realty Investments, Inc. dba Bath Fitter (Pasco)</t>
  </si>
  <si>
    <t>32339 - GULF COAST JEWISH FAMILY AND COMMUNITY SERVICES, INC. (Pasco)</t>
  </si>
  <si>
    <t>32434 - GENESIS ARMANI HOME CARE LLC DBA PREFERRED CARE AT HOME (Pasco)</t>
  </si>
  <si>
    <t>32481 - Trusted Home Care (Pasco)</t>
  </si>
  <si>
    <t>32535 - Etairos Health, Inc. (Pasco)</t>
  </si>
  <si>
    <t>42896 - NORTON NURSE REGISTRY CORP (Pasco)</t>
  </si>
  <si>
    <t>42970 - SACRED HEART CARE INC DBA ASSISTING HANDS HOME CARE OF PASCO (PASCO)</t>
  </si>
  <si>
    <t>42972 - ELDERCLUB PORT RICHEY INC (PASCO)</t>
  </si>
  <si>
    <t>43093 - COMMUNITY HEALTH CENTERS OF PINELLAS, INC. DBA EVARA HEALTH (Pasco)</t>
  </si>
  <si>
    <t>43111 - Aura Home Health Services, Inc. (Pasco)</t>
  </si>
  <si>
    <t>43115 - Northwest Tampa FL Caregiving dba Cornerstone Caregiving East (Pasco)</t>
  </si>
  <si>
    <t>43117 - Florida Teel Specialty Builders (Pasco)</t>
  </si>
  <si>
    <t>County Total:</t>
  </si>
  <si>
    <t>PINELLAS</t>
  </si>
  <si>
    <t>21445 - ADT SECURITY SERVICES, INC. (Pinellas)</t>
  </si>
  <si>
    <t>21492 - GUARDIAN MEDICAL MONITORING,LLC (Pinellas)</t>
  </si>
  <si>
    <t>21500 - ABC PEST CONTROL,INC (Pinellas)</t>
  </si>
  <si>
    <t>21521 - PERSONAL RESPONSE CORPORATION (Pinellas)</t>
  </si>
  <si>
    <t>21763 - GULF COAST JEWISH FAMILY AND COMMUNITY SERVICES, INC (53800-04A)</t>
  </si>
  <si>
    <t>SA</t>
  </si>
  <si>
    <t>SA SHOPPING ASSISTANCE</t>
  </si>
  <si>
    <t>21767 - ALWAYS DEPENDABLE, INC. (53800-06G)</t>
  </si>
  <si>
    <t>21794 - NEIGHBORLY CARE NETWORK 53800-17G</t>
  </si>
  <si>
    <t>NUCOI</t>
  </si>
  <si>
    <t>NUCOI NUTRITION COUNSELING - INDIVIDUAL</t>
  </si>
  <si>
    <t>21801 - CATALANO'S NURSES REGISTRY (53800-19G)</t>
  </si>
  <si>
    <t>21818 - SUMMIT HOME RESPIRATORY SERVICES (53800-30G)</t>
  </si>
  <si>
    <t>21822 - HEALTH AID COMPANY, INC. (53800-31G)</t>
  </si>
  <si>
    <t>21830 - FLORIDA CONCERNED CARE LLC,DBA RIGHT AT HOME CENTRAL PINELLAS (53800-331)</t>
  </si>
  <si>
    <t>21832 - GUARDIAN ANGEL HOME CARE SERVICES,INC. (53800-338)</t>
  </si>
  <si>
    <t>21841 - SLIONS CREATIONS,LLC DBA DAYCATIONS ADULT DAY CARE (53800-358)</t>
  </si>
  <si>
    <t>21847 - GTB HOME HEALTHCARE SOLUTIONS INC., DBA HOME CARE NOW (53800-367)</t>
  </si>
  <si>
    <t>21849 - MENORAH MANOR (53800-36G1)</t>
  </si>
  <si>
    <t>21866 - HELPING SOLUTIONS (53800-399)</t>
  </si>
  <si>
    <t>21871 - EASY LIVING,INC. (53800-403)</t>
  </si>
  <si>
    <t>21874 - OPAL ROSE HOME CARE AND COMPANION SERVICES, LLC (53800-409)</t>
  </si>
  <si>
    <t>21878 - TLC ADULT DAY CARE AND RECREATION CENTER, INC (53800-41T)</t>
  </si>
  <si>
    <t>21882 - EMPATH FOR YOU, LLC (53800-510)</t>
  </si>
  <si>
    <t>21883 - A PALMS PERSONAL CARE &amp; HOMEMAKING SERVICES (53800-511)</t>
  </si>
  <si>
    <t>21884 - M &amp; M HEALTH HOLDINGS DBA MIND &amp; MOBILITY (53800-513)</t>
  </si>
  <si>
    <t>21886 - AGELESS PLACEMENTS (53800-53G)</t>
  </si>
  <si>
    <t>21907 - HOME HEALTH WORKS, INC. (53800-70G)</t>
  </si>
  <si>
    <t>21909 - RK HEALTHCARE, INC (53800-74G)</t>
  </si>
  <si>
    <t>21915 - WRIGHTWAY CONSULTING (53800-79G)</t>
  </si>
  <si>
    <t>21935 - SEA BREEZE ADULT DAY CARE (53800-97)</t>
  </si>
  <si>
    <t>21939 - GULF COAST JEWISH FAMILY AND COMMUNITY SERVICES, INC. ( ADI) (53802-01)</t>
  </si>
  <si>
    <t>22223 - AREA AGENCY ON AGING (PINELLAS) (59999-02)</t>
  </si>
  <si>
    <t>32226 - Purfoods, LLC dba Mom’s Meals (Pinellas)</t>
  </si>
  <si>
    <t>32244 - PETERSON COUNSELING &amp; CONSULTING,INC (53800-395)</t>
  </si>
  <si>
    <t>32259 - CASTLE HEALTHCARE, INC. DBA HOME INSTEAD</t>
  </si>
  <si>
    <t>32265 - Phoenix Pro Management, Inc. (Pinellas)</t>
  </si>
  <si>
    <t>32282 - SENIOR HOMECARE OPTIONS (Pinellas)</t>
  </si>
  <si>
    <t>32308 - Jopa Realty Investments, Inc. dba Bath Fitter (Pinellas)</t>
  </si>
  <si>
    <t>32332 - Rooster Brands, Inc. dba Senior Helpers of St. Petersburg</t>
  </si>
  <si>
    <t>32435 - GENESIS ARMANI HOME CARE LLC DBA PREFERRED CARE AT HOME (Pinellas)</t>
  </si>
  <si>
    <t>32482 - Trusted Home Care (Pinellas)</t>
  </si>
  <si>
    <t>32536 - Etairos Health, Inc. (Pinellas)</t>
  </si>
  <si>
    <t>42895 - NORTON NURSE REGISTRY CORP (Pinellas)</t>
  </si>
  <si>
    <t>42971 - SACRED HEART CARE INC DBA ASSISTING HANDS HOME CARE OF PASCO (PINELLAS)</t>
  </si>
  <si>
    <t>43064 - Community Health Centers of Pinellas, Inc. DBA Evara Health (Pinellas)</t>
  </si>
  <si>
    <t>43100 - VEBEACH ENTERPRISE LLC DBA SENIORS HELPING SENIORS</t>
  </si>
  <si>
    <t>43112 - Aura Home Health Services, Inc. (Pinellas)</t>
  </si>
  <si>
    <t xml:space="preserve">43113 - Senior Care of Clearwater, LLC dba Seniors Helping Seniors (Pinellas) </t>
  </si>
  <si>
    <t xml:space="preserve">43114 - STJ Home Care, Inc. dba Assisting Hands Home Care of St. Pete (Pinellas) </t>
  </si>
  <si>
    <t>43116 - Northwest Tampa FL Caregiving dba Cornerstone Caregiving East (Pinellas)</t>
  </si>
  <si>
    <t>43118 - Florida Teel Specialty Builders (Pinellas)</t>
  </si>
  <si>
    <t>PSA Total</t>
  </si>
  <si>
    <t>CCE</t>
  </si>
  <si>
    <t>21306 - ANGELS UNIQUE (52700-254)</t>
  </si>
  <si>
    <t>21308 - SUMMIT HOME HEALTHCARE PRODUCTS (52700-30G)</t>
  </si>
  <si>
    <t>21320 - GTB HOME HEALTHCARE SOLUTIONS, INC. DBA HOME CARE NOW (52700-367)</t>
  </si>
  <si>
    <t>21328 - PASCO COUNTY PUBLIC TRANSPORTATION (52700-377)</t>
  </si>
  <si>
    <t>21332 - FOUR MURPHY'S,LLC DBA HOME INSTEAD SENIOR CARE (52700-384)</t>
  </si>
  <si>
    <t>21338 - RELIANCE HOMECARE DBA FIRSTLIGHT HOME CARE (52700-402)</t>
  </si>
  <si>
    <t>21339 - EASY LIVING,INC. (52700-403)</t>
  </si>
  <si>
    <t>21341 - PASCO SENIOR HOME CARE DBA HOME INSTEAD SENIOR CARE (52700-405)</t>
  </si>
  <si>
    <t>21344 - OPAL ROSE HOME CARE AND COMPANION SERVICES, LLC (52700-409)</t>
  </si>
  <si>
    <t>21346 - TLC ADULT DAY CARE AND RECREATION CENTER, INC (52700-41T)</t>
  </si>
  <si>
    <t>21349 - A PALMS PERSONAL CARE &amp; HOMEMAKING SERVICES (52700-511)</t>
  </si>
  <si>
    <t>21351 - M &amp; M HEALTH HOLDINGS DBA MIND &amp; MOBILITY (52700-513)</t>
  </si>
  <si>
    <t>21354 - AGELESS PLACEMENTS, INC. (52700-53G)</t>
  </si>
  <si>
    <t>21356 - CATALANO'S NURSE REGISTRY (52700-63G)</t>
  </si>
  <si>
    <t>21358 - HOME HEALTH WORKS, LLC (52700-70G)</t>
  </si>
  <si>
    <t>21359 - HEALTH AID COMPANY, INC. (52700-75G)</t>
  </si>
  <si>
    <t>21360 - WRIGHTWAY CONSULTING, INC. (52700-79G)</t>
  </si>
  <si>
    <t>21366 - CARING COMMUNITY COUSELING LLC (52700-95)</t>
  </si>
  <si>
    <t>INFO</t>
  </si>
  <si>
    <t>INFO INFORMATION</t>
  </si>
  <si>
    <t>REFE</t>
  </si>
  <si>
    <t>REFE REFERRAL/ASSISTANCE</t>
  </si>
  <si>
    <t>21400 - GULF COAST JEWISH FAMILY AND COMMUNITY SERVICES, INC. (52800-04G)</t>
  </si>
  <si>
    <t>21404 - ALWAYS DEPENDABLE INC (52800-06G)</t>
  </si>
  <si>
    <t>21437 - NEIGHBORLY CARE NETWORK (52800-17G)</t>
  </si>
  <si>
    <t>21467 - SUMMIT HOME HEALTHCARE PRODUCTS (52800-30G)</t>
  </si>
  <si>
    <t>21479 - FLORIDA CONCERNED CARE LLC,DBA RIGHT AT HOME CENTRAL PINELLAS (52800-331)</t>
  </si>
  <si>
    <t>21481 - GUARDIAN ANGEL HOME CARE SERVICES,INC. (52800-338)</t>
  </si>
  <si>
    <t>21495 - SLIONS CREATIONS,LLC DBA DAYCATIONS ADULT DAY CARE (52800-358)</t>
  </si>
  <si>
    <t>21502 - GTB HOME HEALTHCARE SOLUTIONS INC., DBA HOME CARE NOW (52800-367)</t>
  </si>
  <si>
    <t>21505 - MENORAH MANOR (52800-36G1)</t>
  </si>
  <si>
    <t>21522 - HELPING SOLUTIONS,INC. (52800-399)</t>
  </si>
  <si>
    <t>21526 - EASY LIVING,INC. (52800-403)</t>
  </si>
  <si>
    <t>21531 - OPAL ROSE HOME CARE AND COMPANION SERVICES, LLC (52800-409)</t>
  </si>
  <si>
    <t>21534 - TLC ADULT DAY CARE AND RECREATION CENTER, INC (52800-41T)</t>
  </si>
  <si>
    <t>21554 - EMPATH FOR YOU, LLC (52800-510)</t>
  </si>
  <si>
    <t>21557 - M &amp; M HEALTH HOLDINGS DBA MIND &amp; MOBILITY (52800-513)</t>
  </si>
  <si>
    <t>21563 - AGELESS PLACEMENTS (52800-53G)</t>
  </si>
  <si>
    <t>21591 - CATALANO'S NURSES REGISTRY (52800-63G)</t>
  </si>
  <si>
    <t>21609 - HOME HEALTH WORKS, LLC (52800-70G)</t>
  </si>
  <si>
    <t>21619 - RK HEALTHCARE INC DBA HOME INSTEAD SENIOR CARE (52800-74G)</t>
  </si>
  <si>
    <t>21622 - HEALTH AID COMPANY INC (52800-75G)</t>
  </si>
  <si>
    <t>21634 - WRIGHTWAY CONSULTING (52800-79G)</t>
  </si>
  <si>
    <t>21660 - CARING COMMUNITY COUNSELING, LLC (52800-95)</t>
  </si>
  <si>
    <t>21662 - SEA BREEZE ADULT DAY CARE (52800-97)</t>
  </si>
  <si>
    <t>21693 - GULF COAST JEWISH FAMILY AND COMMUNITY SERVICES, INC. (CCE) (52802-01)</t>
  </si>
  <si>
    <t>32262 - PETERSON COUNSELING &amp; CONSULTING,INC (52800-395)</t>
  </si>
  <si>
    <t>HCE</t>
  </si>
  <si>
    <t>21242 - SUMMIT HOME HEALTHCARE PRODUCTS (52503-30G)</t>
  </si>
  <si>
    <t>SCSV</t>
  </si>
  <si>
    <t>SCSV SPECIALIZED MEDICAL EQUIPMENT, SERVICES, AND SUPPLIES - VENDOR PAYMENT</t>
  </si>
  <si>
    <t>21256 - PASCO COUNTY BOARD OF COUNTY COMMISSIONERS DBA PASCO COUNTY SENIOR SERVICES</t>
  </si>
  <si>
    <t>HDMV</t>
  </si>
  <si>
    <t>HDMV HOME DELIVERED MEALS-VENDOR PAYMENT</t>
  </si>
  <si>
    <t>21264 - RELIANCE HOME CARE LLC DBA FIRSTLIGHT HOME CARE (52503-402)</t>
  </si>
  <si>
    <t>RESV</t>
  </si>
  <si>
    <t>RESV RESPITE-VENDOR PAYMENT</t>
  </si>
  <si>
    <t>21267 - PASCO SENIOR HOME CARE DBA HOMEINSTEAD SENIOR CARE (52503-405)</t>
  </si>
  <si>
    <t>21276 - HEALTH AID COMPANY, INC. (52503-75G)</t>
  </si>
  <si>
    <t>21277 - WRIGHTWAY CONSULTING, INC. (52503-79G)</t>
  </si>
  <si>
    <t>BASI</t>
  </si>
  <si>
    <t>BASI BASIC SUBSIDY</t>
  </si>
  <si>
    <t>CAV</t>
  </si>
  <si>
    <t>CAV CASE AIDE VENDOR</t>
  </si>
  <si>
    <t>CMV</t>
  </si>
  <si>
    <t>CMV CASE MANAGEMENT-VENDOR PAYMENT</t>
  </si>
  <si>
    <t>21979 - EASY LIVING,INC. (54800-403)</t>
  </si>
  <si>
    <t>22005 - GULF COAST JEWISH FAMILY &amp; COMMUNITY SERVICES (54802-01)</t>
  </si>
  <si>
    <t>22013 - HEALTH AID COMPANY INC (54802-09)</t>
  </si>
  <si>
    <t>22018 - ALWAYS DEPENDABLE, INC. (54802-16)</t>
  </si>
  <si>
    <t>22019 - NEIGHBORLY CARE NETWORK (54802-17)</t>
  </si>
  <si>
    <t>22025 - SUMMIT HOME HEALTH PRODUCTS (54802-30)</t>
  </si>
  <si>
    <t>22034 - GUARDIAN ANGEL HOME CARE SERVICES,INC. (54802-338)</t>
  </si>
  <si>
    <t>22058 - A PALMS PERSONAL CARE &amp; HOMEMAKING SERVICES (54802-511)</t>
  </si>
  <si>
    <t>22066 - RK HEALTHCARE (54802-74)</t>
  </si>
  <si>
    <t>22075 - WRIGHTWAY CONSULTING, INC. (54802-84)</t>
  </si>
  <si>
    <t>LSP</t>
  </si>
  <si>
    <t>21092 - PASCO CO. TRANSPORTATION (51008-01)</t>
  </si>
  <si>
    <t>21101 - DADE CITY SITE (51009-01)</t>
  </si>
  <si>
    <t>CNML</t>
  </si>
  <si>
    <t>CNML CONGREGATE MEALS</t>
  </si>
  <si>
    <t>CNMLG</t>
  </si>
  <si>
    <t>CNMLG CONGREGATE MEALS GUEST</t>
  </si>
  <si>
    <t>CNMLM</t>
  </si>
  <si>
    <t>CNMLM CONGREGATE MEALS FOR MANAGED LONG-TERM CARE CLIENTS</t>
  </si>
  <si>
    <t>CNMLS</t>
  </si>
  <si>
    <t>CNMLS CONGREGATE HOLIDAY/EMERGENCY SHELF MEALS</t>
  </si>
  <si>
    <t>CNMLV</t>
  </si>
  <si>
    <t>CNMLV CONGREGATE MEALS VOLUNTEERS</t>
  </si>
  <si>
    <t>HDMG</t>
  </si>
  <si>
    <t>HDMG HOME DELIVERED MEAL GUEST</t>
  </si>
  <si>
    <t>21151 - BAY AREA LEGAL SERVICES (51030-01)</t>
  </si>
  <si>
    <t>LEG</t>
  </si>
  <si>
    <t>LEG LEGAL ASSISTANCE</t>
  </si>
  <si>
    <t>21005 - NEIGHBORLY CARE NETWORK (ADC) (51002-02)</t>
  </si>
  <si>
    <t>21021 - NCN ADMINISTRATION (51003-01)</t>
  </si>
  <si>
    <t>21079 - NCN ADMIN ADC LSP (51007-01)</t>
  </si>
  <si>
    <t>21156 - NCN OAA TRANSPORTATION (51034-01)</t>
  </si>
  <si>
    <t>21164 - GULFCOAST LEGAL SERVICES, INC. (51049-01)</t>
  </si>
  <si>
    <t>21178 - GULF COAST JEWISH FAMILY AND COMMUNITY SERVICES, INC. (51067-01)</t>
  </si>
  <si>
    <t>32614 - NCN - MOW LSP</t>
  </si>
  <si>
    <t>O3C1</t>
  </si>
  <si>
    <r>
      <rPr>
        <b/>
        <sz val="11"/>
        <color rgb="FFFFFFFF"/>
        <rFont val="Tahoma"/>
        <family val="2"/>
      </rPr>
      <t xml:space="preserve">Max Provider
</t>
    </r>
    <r>
      <rPr>
        <b/>
        <sz val="11"/>
        <color rgb="FFFFFFFF"/>
        <rFont val="Tahoma"/>
        <family val="2"/>
      </rPr>
      <t>Unit Cost</t>
    </r>
  </si>
  <si>
    <t>NTED</t>
  </si>
  <si>
    <t>NTED NUTRITION EDUCATION</t>
  </si>
  <si>
    <t>OTR</t>
  </si>
  <si>
    <t>OTR OUTREACH</t>
  </si>
  <si>
    <t>TERA</t>
  </si>
  <si>
    <t>TERA ASSURANCE (TELEPHONE &amp; IN-PERSON)</t>
  </si>
  <si>
    <t/>
  </si>
  <si>
    <t>Program</t>
  </si>
  <si>
    <t>O3C2</t>
  </si>
  <si>
    <t>OA3B</t>
  </si>
  <si>
    <t>EDUCG</t>
  </si>
  <si>
    <t>EDUCG EDUCATION/TRAINING - GROUP</t>
  </si>
  <si>
    <t>EDUCI</t>
  </si>
  <si>
    <t>EDUCI EDUCATION/TRAINING - INDIVIDUAL</t>
  </si>
  <si>
    <t>PSS</t>
  </si>
  <si>
    <t>PSS PET SUPPORT SERVICES</t>
  </si>
  <si>
    <t>TECH</t>
  </si>
  <si>
    <t>TECH TECHNOLOGY</t>
  </si>
  <si>
    <t>TECHE</t>
  </si>
  <si>
    <t>TECHE TECHNOLOGY (EQUIPMENT PURCHASE/LEASE)</t>
  </si>
  <si>
    <t>TECHI</t>
  </si>
  <si>
    <t>TECHI TECHNOLOGY (INSTALL)</t>
  </si>
  <si>
    <t>TECHS</t>
  </si>
  <si>
    <t>TECHS TECHNOLOGY (STAFF SUPPORT)</t>
  </si>
  <si>
    <t>TRSM</t>
  </si>
  <si>
    <t>TRSM TRANSPORTATION TO MEAL SITE FOR MANAGED LONG-TERM CARE CLIENTS</t>
  </si>
  <si>
    <t>OA3D</t>
  </si>
  <si>
    <t>21154 - YOUNG MENS CHRISTIAN ASSOCIATION OF THE SUNCOAST INC (51032-01)</t>
  </si>
  <si>
    <t>ENFIG</t>
  </si>
  <si>
    <t>ENFIG ENHANCEFITNESS (EVIDENCE BASED PROGRAM)</t>
  </si>
  <si>
    <t>BINGO</t>
  </si>
  <si>
    <t>BINGO BINGOCIZE</t>
  </si>
  <si>
    <t>CDSMPG</t>
  </si>
  <si>
    <t>CDSMPG CHRONIC DISEASE SELF-MANAGEMENT PROGRAM (EVIDENCE BASED PROGRAM)</t>
  </si>
  <si>
    <t>CPSMPG</t>
  </si>
  <si>
    <t>CPSMPG CHRONIC PAIN SELF MANAGEMENT PROGRAM</t>
  </si>
  <si>
    <t>DSMPG</t>
  </si>
  <si>
    <t>DSMPG DIABETES SELF-MANAGEMENT PROGRAM (EVIDENCE BASED PROGRAM)</t>
  </si>
  <si>
    <t>MOBG</t>
  </si>
  <si>
    <t>MOBG A MATTER OF BALANCE</t>
  </si>
  <si>
    <t>SAVVY</t>
  </si>
  <si>
    <t>SAVVY SAVVY CAREGIVER</t>
  </si>
  <si>
    <t>21155 - YOUNG MENS CHRISTIAN ASSOCIATION OF THE SUNCOAST INC. (51032-02)</t>
  </si>
  <si>
    <t>OA2E</t>
  </si>
  <si>
    <t>SCAS</t>
  </si>
  <si>
    <t>SCAS SCREENING &amp; ASSESSMENT</t>
  </si>
  <si>
    <t>OA2EG</t>
  </si>
  <si>
    <t>OA2ES</t>
  </si>
  <si>
    <r>
      <t xml:space="preserve">C.I.E.- Service Units and Cost Projections </t>
    </r>
    <r>
      <rPr>
        <b/>
        <sz val="14"/>
        <rFont val="Calibri"/>
        <family val="2"/>
      </rPr>
      <t xml:space="preserve">— </t>
    </r>
    <r>
      <rPr>
        <b/>
        <sz val="14"/>
        <rFont val="Times New Roman"/>
        <family val="1"/>
      </rPr>
      <t>PSA Summary — All Programs</t>
    </r>
  </si>
  <si>
    <t>This worksheet displays for each program (except Medicaid waivers) the services provided and for each service the projected cost; number of units to be served; average unit rate; highest and lowest unit rate; and average, highest, and lowest contracted unit rate.</t>
  </si>
  <si>
    <r>
      <rPr>
        <i/>
        <sz val="12"/>
        <color rgb="FF000000"/>
        <rFont val="Times New Roman"/>
        <family val="1"/>
      </rPr>
      <t xml:space="preserve">
</t>
    </r>
    <r>
      <rPr>
        <b/>
        <i/>
        <sz val="12"/>
        <color rgb="FF000000"/>
        <rFont val="Times New Roman"/>
        <family val="1"/>
      </rPr>
      <t xml:space="preserve">Instructions: C.I.E. Service Units and Costs Projections – PSA Summary – All Programs: </t>
    </r>
    <r>
      <rPr>
        <i/>
        <sz val="12"/>
        <color rgb="FF000000"/>
        <rFont val="Times New Roman"/>
        <family val="1"/>
      </rPr>
      <t xml:space="preserve"> 
Run the report in eCIRTS. 
Type in Start Date and End Date: 01/01/2027 to 12/31/2027;
Select PSA;
Select "Federally Funded" for the Program Type
</t>
    </r>
    <r>
      <rPr>
        <b/>
        <sz val="12"/>
        <rFont val="Times New Roman"/>
        <family val="1"/>
      </rPr>
      <t>Service projections (State/Federal Share) must be included for each service and the total of the State/Federal Share must equal the total service funds for each program, as reported on the C.I.A.</t>
    </r>
  </si>
  <si>
    <r>
      <rPr>
        <b/>
        <sz val="12"/>
        <rFont val="Times New Roman"/>
        <family val="1"/>
      </rPr>
      <t xml:space="preserve">Instructions: Inserting Data Into This Spreadsheet
</t>
    </r>
    <r>
      <rPr>
        <sz val="12"/>
        <rFont val="Times New Roman"/>
        <family val="1"/>
      </rPr>
      <t xml:space="preserve">In order to insert the data into this template, each time you run a report for an OAA Title III program, select the Save button (which looks like a disc) and select CSV (comma delimited) which will download the report into Excel. 
Copy the data from the report and insert it below. </t>
    </r>
    <r>
      <rPr>
        <b/>
        <sz val="12"/>
        <rFont val="Times New Roman"/>
        <family val="1"/>
      </rPr>
      <t>Please insert and add a subtotal row for each program you have pasted into this spreadsheet.</t>
    </r>
    <r>
      <rPr>
        <sz val="12"/>
        <rFont val="Times New Roman"/>
        <family val="1"/>
      </rPr>
      <t xml:space="preserve">
Once you have completed inserting all your data into this spreadsheet, you can adjust the column headings to accommodate the labels from the data you've imported.</t>
    </r>
  </si>
  <si>
    <t>Start Date and End Date parameters should align with state and federal contract years.
Federal contracts run January-December. General Revenue contracts run July-June.</t>
  </si>
  <si>
    <r>
      <t xml:space="preserve">Start Date: </t>
    </r>
    <r>
      <rPr>
        <sz val="10"/>
        <color rgb="FF000000"/>
        <rFont val="Arial"/>
        <family val="2"/>
      </rPr>
      <t>7/1/2026</t>
    </r>
  </si>
  <si>
    <r>
      <t xml:space="preserve">End Date: </t>
    </r>
    <r>
      <rPr>
        <sz val="10"/>
        <color rgb="FF000000"/>
        <rFont val="Arial"/>
        <family val="2"/>
      </rPr>
      <t>6/30/2027</t>
    </r>
  </si>
  <si>
    <t>Total State/Federal Share</t>
  </si>
  <si>
    <t>Max  Reimbursement Unit Rate</t>
  </si>
  <si>
    <t>Min Reimbursement Unit Rate</t>
  </si>
  <si>
    <t>Avg Provider Unit Cost</t>
  </si>
  <si>
    <t>Max Provider  Unit Cost</t>
  </si>
  <si>
    <t>Min Provider  Unit Cost</t>
  </si>
  <si>
    <t>Program Total</t>
  </si>
  <si>
    <t>NDP</t>
  </si>
  <si>
    <t>DPRESP</t>
  </si>
  <si>
    <t>DPRESP DIRECT PAY RESPITE</t>
  </si>
  <si>
    <r>
      <rPr>
        <b/>
        <sz val="10"/>
        <color rgb="FF000000"/>
        <rFont val="Arial"/>
        <family val="2"/>
      </rPr>
      <t xml:space="preserve">Start Date: </t>
    </r>
    <r>
      <rPr>
        <sz val="10"/>
        <color rgb="FF000000"/>
        <rFont val="Arial"/>
        <family val="2"/>
      </rPr>
      <t>1/1/2027</t>
    </r>
  </si>
  <si>
    <r>
      <rPr>
        <b/>
        <sz val="10"/>
        <color rgb="FF000000"/>
        <rFont val="Arial"/>
        <family val="2"/>
      </rPr>
      <t xml:space="preserve">End Date: </t>
    </r>
    <r>
      <rPr>
        <sz val="10"/>
        <color rgb="FF000000"/>
        <rFont val="Arial"/>
        <family val="2"/>
      </rPr>
      <t>12/31/2027</t>
    </r>
  </si>
  <si>
    <t>OA3E</t>
  </si>
  <si>
    <t>OA3EG</t>
  </si>
  <si>
    <t>OA3ES</t>
  </si>
  <si>
    <t>Crosswalk of 2026 and 2027 OAA Services and Unit Costs</t>
  </si>
  <si>
    <t>This worksheet displays for each OAA program the services provided, the highest unit rate for each service, and the differences in services and highest unit rate from one year to the next. AAAs shall confirm in the notes column which services are new and which have been removed. AAAs shall provide justification for any unit rate that has changed more than 5 percent, either as an increase or as a decrease.</t>
  </si>
  <si>
    <r>
      <t xml:space="preserve">Instructions: Inserting Data Into This Spreadsheet
</t>
    </r>
    <r>
      <rPr>
        <i/>
        <sz val="12"/>
        <color rgb="FF000000"/>
        <rFont val="Times New Roman"/>
        <family val="1"/>
      </rPr>
      <t>Follow the instructions in the C.I.E. tab to capture data for 2026 and 2027 Services. Copy and paste the data for the 2026 and 2027 Services in the table below. Add as many rows as are needed by copying and pasting Row 11 so that the formulas in Column H and Column I are in each row.</t>
    </r>
  </si>
  <si>
    <t>PROGRAM</t>
  </si>
  <si>
    <t>SERVICE</t>
  </si>
  <si>
    <t>TOTAL_STATE_FEDERAL_SHARE</t>
  </si>
  <si>
    <t>TOTAL_PROJECTED_SERVICE_UNITS</t>
  </si>
  <si>
    <t>AVG_REIMBURSEMENT_UNIT_RATE</t>
  </si>
  <si>
    <t>HIGH REIM</t>
  </si>
  <si>
    <t>LOW_REIMBURSEMENT_UNIT_RATE</t>
  </si>
  <si>
    <t>AVG_PROVIDER_COST_PER_UNIT</t>
  </si>
  <si>
    <t>HIGH_PROVIDER_COST_PER_UNIT</t>
  </si>
  <si>
    <t>LOW_PROVIDER_COST_PER_UNIT</t>
  </si>
  <si>
    <t>VARIANCE</t>
  </si>
  <si>
    <t>% Change</t>
  </si>
  <si>
    <t>PROVIDE EXPLANATION FOR ALL % CHANGES MORE THAN 5% (Highlighted Yellow)</t>
  </si>
  <si>
    <t>CONGREGATE MEALS</t>
  </si>
  <si>
    <t>CONGREGATE MEALS GUEST</t>
  </si>
  <si>
    <t xml:space="preserve"> CONGREGATE MEALS GRAB AND GO</t>
  </si>
  <si>
    <t>CONGREGATE MEALS FOR MANAGED LONG-TERM CARE CLIENTS</t>
  </si>
  <si>
    <t xml:space="preserve"> CONGREGATE HOLIDAY/EMERGENCY SHELF MEALS</t>
  </si>
  <si>
    <t xml:space="preserve"> CONGREGATE MEALS VOLUNTEERS</t>
  </si>
  <si>
    <t xml:space="preserve"> CONGREGATE MEALS BREAKFAST</t>
  </si>
  <si>
    <t xml:space="preserve">New Service </t>
  </si>
  <si>
    <t>EMERGENCY HOME DELIVERED SHELF MEALS</t>
  </si>
  <si>
    <t xml:space="preserve"> NUTRITION EDUCATION</t>
  </si>
  <si>
    <t xml:space="preserve"> NUTRITION COUNSELING - INDIVIDUAL</t>
  </si>
  <si>
    <t xml:space="preserve"> OUTREACH</t>
  </si>
  <si>
    <t>SHOPPING ASSISTANCE</t>
  </si>
  <si>
    <t>Removed Service</t>
  </si>
  <si>
    <t xml:space="preserve"> ASSURANCE (TELEPHONE &amp; IN-PERSON)</t>
  </si>
  <si>
    <t xml:space="preserve"> EMERGENCY HOME DELIVERED SHELF MEALS</t>
  </si>
  <si>
    <t xml:space="preserve"> HOME DELIVERED MEALS</t>
  </si>
  <si>
    <t xml:space="preserve"> HOME DELIVERED MEAL GUEST</t>
  </si>
  <si>
    <t xml:space="preserve"> SHOPPING ASSISTANCE</t>
  </si>
  <si>
    <t xml:space="preserve"> CHORE</t>
  </si>
  <si>
    <t>EMERGENCY  ALERT RESPONSE</t>
  </si>
  <si>
    <t>HOMEMAKER</t>
  </si>
  <si>
    <t xml:space="preserve"> INFORMATION</t>
  </si>
  <si>
    <t xml:space="preserve"> INTAKE</t>
  </si>
  <si>
    <t xml:space="preserve"> LEGAL ASSISTANCE</t>
  </si>
  <si>
    <t>MENTAL HEALTH COUNSELING/SCREENING - INDIVIDUAL</t>
  </si>
  <si>
    <t xml:space="preserve"> PET SUPPORT SERVICES</t>
  </si>
  <si>
    <t>CRS</t>
  </si>
  <si>
    <t xml:space="preserve"> REFERRAL/ASSISTANCE</t>
  </si>
  <si>
    <t xml:space="preserve"> TECHNOLOGY</t>
  </si>
  <si>
    <t xml:space="preserve"> TECHNOLOGY (EQUIPMENT PURCHASE/LEASE)</t>
  </si>
  <si>
    <t xml:space="preserve"> TECHNOLOGY (INSTALL)</t>
  </si>
  <si>
    <t xml:space="preserve"> TECHNOLOGY (STAFF SUPPORT)</t>
  </si>
  <si>
    <t xml:space="preserve"> TRANSPORTATION</t>
  </si>
  <si>
    <t xml:space="preserve"> TRANSPORTATION TO MEAL SITE FOR MANAGED LONG-TERM CARE CLIENTS</t>
  </si>
  <si>
    <t xml:space="preserve"> BINGOCIZE</t>
  </si>
  <si>
    <t xml:space="preserve"> CHRONIC DISEASE SELF-MANAGEMENT PROGRAM (EVIDENCE BASED PROGRAM)</t>
  </si>
  <si>
    <t xml:space="preserve"> CHRONIC PAIN SELF MANAGEMENT PROGRAM</t>
  </si>
  <si>
    <t xml:space="preserve"> DIABETES SELF-MANAGEMENT PROGRAM (EVIDENCE BASED PROGRAM)</t>
  </si>
  <si>
    <t xml:space="preserve"> ENHANCEFITNESS (EVIDENCE BASED PROGRAM)</t>
  </si>
  <si>
    <t xml:space="preserve"> MATTER OF BALANCE</t>
  </si>
  <si>
    <t>SAVVY CAREGIVER</t>
  </si>
  <si>
    <t xml:space="preserve"> CAREGIVER TRAIN/SUPPORT (GRP)</t>
  </si>
  <si>
    <t xml:space="preserve"> DIRECT PAY RESPITE</t>
  </si>
  <si>
    <t>COUNSELING (MENTAL HEALTH COUNSELING/SCREENING) - INDIVIDUAL</t>
  </si>
  <si>
    <t>RESPITE IN-FACILITY</t>
  </si>
  <si>
    <t xml:space="preserve"> RESPITE IN-HOME</t>
  </si>
  <si>
    <t xml:space="preserve"> SCREENING &amp; ASSESSMENT</t>
  </si>
  <si>
    <t>LEGAL ASSISTANCE</t>
  </si>
  <si>
    <t>DPSCSM SPECIALIZED MEDICAL EQUIPMENT, SERVICES, AND SUPPLIES - DIRECT PAY</t>
  </si>
  <si>
    <t>EMERGENCY ALERT RESPONSE</t>
  </si>
  <si>
    <t xml:space="preserve"> HOUSING IMPROVEMENT</t>
  </si>
  <si>
    <t xml:space="preserve"> MATERIAL AID</t>
  </si>
  <si>
    <t xml:space="preserve"> SPECIALIZED MEDICAL EQUIPMENT, SERVICES, AND SUPPLIES</t>
  </si>
  <si>
    <t>SCSMD SPECIALIZED MEDICAL EQUIPMENT, SERVICES, AND SUPPLIES - DIRECT PAY</t>
  </si>
  <si>
    <t>DOEA Cost Analysis For Non-Competitively Procured Contracts In Excess of Category II</t>
  </si>
  <si>
    <t>AGREEMENT INFORMATION (To be completed by the DOEA Contract Manager)</t>
  </si>
  <si>
    <t xml:space="preserve">CONTRACT NUMBER: </t>
  </si>
  <si>
    <t>EA027</t>
  </si>
  <si>
    <t xml:space="preserve">TYPE OF SERVICE: </t>
  </si>
  <si>
    <t>Older Americans Act</t>
  </si>
  <si>
    <t>ORGANIZATIONAL AREA:</t>
  </si>
  <si>
    <t>PSA #</t>
  </si>
  <si>
    <t xml:space="preserve">CURRENT PROVIDER: </t>
  </si>
  <si>
    <t>AAA Name</t>
  </si>
  <si>
    <t xml:space="preserve">CONTRACT PERIOD: </t>
  </si>
  <si>
    <t>01/01/2027 - 12/31/2027</t>
  </si>
  <si>
    <t>PREVIOUS PROVIDER:</t>
  </si>
  <si>
    <t>N/A</t>
  </si>
  <si>
    <t xml:space="preserve">PREVIOUS COST: </t>
  </si>
  <si>
    <t>STATUTORY EXEMPTION:</t>
  </si>
  <si>
    <t>PROPOSED/CURRENT COST:</t>
  </si>
  <si>
    <t xml:space="preserve">COST ANALYSIS </t>
  </si>
  <si>
    <t>Column 3</t>
  </si>
  <si>
    <t>Column 4</t>
  </si>
  <si>
    <t>Column 5</t>
  </si>
  <si>
    <t>Budget Category</t>
  </si>
  <si>
    <t>Line Item</t>
  </si>
  <si>
    <t>Amount</t>
  </si>
  <si>
    <t>% Allocated</t>
  </si>
  <si>
    <t>Allowable</t>
  </si>
  <si>
    <t>Reasonable</t>
  </si>
  <si>
    <t>Necessary</t>
  </si>
  <si>
    <t>to this Agreement</t>
  </si>
  <si>
    <t>Administration</t>
  </si>
  <si>
    <t>a.</t>
  </si>
  <si>
    <r>
      <t xml:space="preserve">Salaries </t>
    </r>
    <r>
      <rPr>
        <b/>
        <sz val="9"/>
        <color rgb="FF000000"/>
        <rFont val="Arial"/>
        <family val="2"/>
      </rPr>
      <t>(List position titles and salaries below; add rows as necessary)</t>
    </r>
  </si>
  <si>
    <t>SUB-TOTAL SALARIES</t>
  </si>
  <si>
    <t>b.</t>
  </si>
  <si>
    <t>Fringe Benefits</t>
  </si>
  <si>
    <t>c.</t>
  </si>
  <si>
    <t>Equipment (Purch &amp; Lease)</t>
  </si>
  <si>
    <t>d.</t>
  </si>
  <si>
    <t>Communications &amp; Utilities</t>
  </si>
  <si>
    <t>e.</t>
  </si>
  <si>
    <t>Travel</t>
  </si>
  <si>
    <t>f.</t>
  </si>
  <si>
    <t>Printing &amp; Supplies</t>
  </si>
  <si>
    <t>g.</t>
  </si>
  <si>
    <t xml:space="preserve">Building Space </t>
  </si>
  <si>
    <t>h.</t>
  </si>
  <si>
    <t>Other (List below)</t>
  </si>
  <si>
    <t>TOTAL ADMINISTRATION</t>
  </si>
  <si>
    <t>Services</t>
  </si>
  <si>
    <t>i.</t>
  </si>
  <si>
    <r>
      <t xml:space="preserve">Client Services </t>
    </r>
    <r>
      <rPr>
        <b/>
        <sz val="8"/>
        <color rgb="FF000000"/>
        <rFont val="Arial"/>
        <family val="2"/>
      </rPr>
      <t>(Attach details per instructions)</t>
    </r>
  </si>
  <si>
    <t>TOTAL SERVICES</t>
  </si>
  <si>
    <t>CONTRACT TOTAL</t>
  </si>
  <si>
    <t>CERTIFICATION (to be signed by DOEA Contract Manager)</t>
  </si>
  <si>
    <t>I certify that the cost for each line item budget category has been evaluated and determined to be allowable, reasonable, and necessary as required by Section 216.3475, Florida Statutes.  Documentation is on file evidencing the methodology used and the conclusions reached.</t>
  </si>
  <si>
    <t>Name</t>
  </si>
  <si>
    <t>Title</t>
  </si>
  <si>
    <t>Signature</t>
  </si>
  <si>
    <t>Date</t>
  </si>
  <si>
    <t>DFS Approved 06/12/2018</t>
  </si>
  <si>
    <r>
      <t xml:space="preserve">C.II.B. - OAA Budget Summary  </t>
    </r>
    <r>
      <rPr>
        <i/>
        <sz val="12"/>
        <rFont val="Times New Roman"/>
        <family val="1"/>
      </rPr>
      <t/>
    </r>
  </si>
  <si>
    <t>Instructions: Update all aqua-colored cells as appropriate. Purple cells are populated from the values entered in tab C.I.A. Carry Forward is not added at the time of the Area Plan. It will be added during Carry Forward amendments.
The total Admin match must be at least 25 percent of the total funding. For titles III B, III CI, III CII, and III E, match must be at least 10 percent of the total funding (match may be pooled between III B, III CI., III C2, and III E.)</t>
  </si>
  <si>
    <t>(1)</t>
  </si>
  <si>
    <t>(2)</t>
  </si>
  <si>
    <t>(3)</t>
  </si>
  <si>
    <t>(4)</t>
  </si>
  <si>
    <t>Federal</t>
  </si>
  <si>
    <t>General</t>
  </si>
  <si>
    <t>Local 
Match/</t>
  </si>
  <si>
    <t>TOTAL</t>
  </si>
  <si>
    <t>Funding</t>
  </si>
  <si>
    <t>Revenue</t>
  </si>
  <si>
    <t>CCE/HCE</t>
  </si>
  <si>
    <t>FUNDS</t>
  </si>
  <si>
    <t>1.  Area Agency Admin</t>
  </si>
  <si>
    <t xml:space="preserve">   A.  </t>
  </si>
  <si>
    <t>Current Year</t>
  </si>
  <si>
    <t xml:space="preserve">  CONTRACT TOTAL</t>
  </si>
  <si>
    <t xml:space="preserve">   B.</t>
  </si>
  <si>
    <t>CCE GR Administration</t>
  </si>
  <si>
    <t xml:space="preserve">   C.</t>
  </si>
  <si>
    <t>HCE GR Administration</t>
  </si>
  <si>
    <t xml:space="preserve">   D.</t>
  </si>
  <si>
    <t>LSP Admin</t>
  </si>
  <si>
    <t xml:space="preserve">   E.</t>
  </si>
  <si>
    <t>LSP Services</t>
  </si>
  <si>
    <t xml:space="preserve">   F.</t>
  </si>
  <si>
    <t>Local Match</t>
  </si>
  <si>
    <t>Admin Match Check</t>
  </si>
  <si>
    <t xml:space="preserve">   TOTAL ADMIN</t>
  </si>
  <si>
    <t>← Must be atleast 25%</t>
  </si>
  <si>
    <t>2.  Title IIIB</t>
  </si>
  <si>
    <t xml:space="preserve">   A.</t>
  </si>
  <si>
    <t>Supportive Services</t>
  </si>
  <si>
    <t xml:space="preserve">     (1)</t>
  </si>
  <si>
    <t xml:space="preserve">     TOTAL</t>
  </si>
  <si>
    <t>← Must be atleast 10%</t>
  </si>
  <si>
    <t>IIIB Set-Aside (also included in Total)</t>
  </si>
  <si>
    <t>IIIB Disaster Recovery Reserve (also included in Total)</t>
  </si>
  <si>
    <t>3.  Title IIIC1 Nutrition Services</t>
  </si>
  <si>
    <t>IIIC1 Disaster Recovery Reserve (also included in Total)</t>
  </si>
  <si>
    <t>4.  Title IIIC2 Nutrition Services</t>
  </si>
  <si>
    <t>IIIC2 Disaster Recovery Reserve (also included in Total)</t>
  </si>
  <si>
    <t>5.  Title IIID Preventive Health</t>
  </si>
  <si>
    <t xml:space="preserve">   TOTAL</t>
  </si>
  <si>
    <t>6.  Title IIIE Caregiver Support Services</t>
  </si>
  <si>
    <t>7.  NSIP</t>
  </si>
  <si>
    <t>8. Total Federal Current Year Funds Awarded</t>
  </si>
  <si>
    <t>(Sum of 1.A, 2.A(1), 3.A, 4.A, 5.A., 6.A, 7.A)</t>
  </si>
  <si>
    <t>9. Total GR Awarded</t>
  </si>
  <si>
    <t>(Total of column 2)</t>
  </si>
  <si>
    <t>10. Total of All Funds to be Received</t>
  </si>
  <si>
    <t>(Sum of 8 &amp; 9)</t>
  </si>
  <si>
    <t>AGENDA# 18.B.</t>
  </si>
  <si>
    <t>C.II.A. - AREA AGENCY ON AGING OPERATING BUDGET SUMMARY AND ALLOCATIONS</t>
  </si>
  <si>
    <t>NAME OF AGENCY:</t>
  </si>
  <si>
    <t xml:space="preserve">Area Agency on Aging of Pasco-Pinellas, Inc. </t>
  </si>
  <si>
    <t>BUDGET YEAR - 2027</t>
  </si>
  <si>
    <t>PERSONNEL SALARIES</t>
  </si>
  <si>
    <t>IN KIND SALARIES</t>
  </si>
  <si>
    <t>FRINGE BENEFITS</t>
  </si>
  <si>
    <t>TOTAL PERSONNEL COSTS</t>
  </si>
  <si>
    <t>TRAVEL</t>
  </si>
  <si>
    <t>BUILDING SPACE</t>
  </si>
  <si>
    <t>COMMUNICATIONS &amp; UTILITIES</t>
  </si>
  <si>
    <t>PRINTING &amp; SUPPLIES</t>
  </si>
  <si>
    <t>EQUIPMENT</t>
  </si>
  <si>
    <t>OTHER</t>
  </si>
  <si>
    <t>REVENUE</t>
  </si>
  <si>
    <t>1. PERSONNEL SALARIES</t>
  </si>
  <si>
    <t>Employee Information</t>
  </si>
  <si>
    <t xml:space="preserve">WC </t>
  </si>
  <si>
    <t xml:space="preserve">Add amount for WC </t>
  </si>
  <si>
    <t>Bonus</t>
  </si>
  <si>
    <t>Oct Merit Raise</t>
  </si>
  <si>
    <t>Merit Raise</t>
  </si>
  <si>
    <t>9 Month</t>
  </si>
  <si>
    <t>3 Month</t>
  </si>
  <si>
    <t>Total</t>
  </si>
  <si>
    <t>% of</t>
  </si>
  <si>
    <t>EMP</t>
  </si>
  <si>
    <t>LAST NAME</t>
  </si>
  <si>
    <t>FIRST NAME</t>
  </si>
  <si>
    <t xml:space="preserve">TITLE </t>
  </si>
  <si>
    <t>GROSS</t>
  </si>
  <si>
    <t xml:space="preserve">TOTAL </t>
  </si>
  <si>
    <t>OAA</t>
  </si>
  <si>
    <t xml:space="preserve">LSP </t>
  </si>
  <si>
    <t>MEDICAID</t>
  </si>
  <si>
    <t>ADRC</t>
  </si>
  <si>
    <t>OTHER 
PROJECTS</t>
  </si>
  <si>
    <t>%</t>
  </si>
  <si>
    <t>WC</t>
  </si>
  <si>
    <t>COLA/Specific Amount</t>
  </si>
  <si>
    <t>9 months Oct1 - Sept30</t>
  </si>
  <si>
    <t>3 months - Oct - Dec</t>
  </si>
  <si>
    <t xml:space="preserve"> Hourly Rate b4 10/01/26</t>
  </si>
  <si>
    <t>FTE</t>
  </si>
  <si>
    <t>ID</t>
  </si>
  <si>
    <t>AVAILABLE</t>
  </si>
  <si>
    <t>BUDGET</t>
  </si>
  <si>
    <t>LEAVE $</t>
  </si>
  <si>
    <t xml:space="preserve">IIIB </t>
  </si>
  <si>
    <t>WAIVER</t>
  </si>
  <si>
    <t>(MAC)</t>
  </si>
  <si>
    <t>DOEA</t>
  </si>
  <si>
    <t>PROJECTS</t>
  </si>
  <si>
    <t xml:space="preserve">DOEA </t>
  </si>
  <si>
    <t>EMPLOYEE ID</t>
  </si>
  <si>
    <t>EMPLOYEE NAME</t>
  </si>
  <si>
    <t>HEALTH INSURANCE ENROLLMENT</t>
  </si>
  <si>
    <t>HIRE/REHIRE DATE</t>
  </si>
  <si>
    <t>VACATION HOURS EARNED</t>
  </si>
  <si>
    <t>SICK HOURS EARNED</t>
  </si>
  <si>
    <t>WEEKS</t>
  </si>
  <si>
    <t>AVAILABLE WORKING HOURS</t>
  </si>
  <si>
    <t>LEAVE HOURS BUDGET PERIOD</t>
  </si>
  <si>
    <t>OF LEAVE</t>
  </si>
  <si>
    <t>WORKERS COMPENSATION CODE</t>
  </si>
  <si>
    <t>CODE</t>
  </si>
  <si>
    <t>2027 Hourly Rate</t>
  </si>
  <si>
    <t>Wages for Working Hours</t>
  </si>
  <si>
    <t>TOTAL  WAGES</t>
  </si>
  <si>
    <t>EMPLOYEE LAST NAME</t>
  </si>
  <si>
    <t>EMPLOYEE FIRST NAME</t>
  </si>
  <si>
    <t xml:space="preserve">Eligible for Increase ??? </t>
  </si>
  <si>
    <t>HOURS</t>
  </si>
  <si>
    <t>CURRENT 2026</t>
  </si>
  <si>
    <t>PROPOSED 2027</t>
  </si>
  <si>
    <t>IN SALARIES 2027</t>
  </si>
  <si>
    <t>SET ASIDE</t>
  </si>
  <si>
    <t>I&amp;R</t>
  </si>
  <si>
    <t>INTAKE</t>
  </si>
  <si>
    <t>OUTREACH</t>
  </si>
  <si>
    <t xml:space="preserve">EDUCATION INDIVIDUAL </t>
  </si>
  <si>
    <t>EDUCATION GROUP</t>
  </si>
  <si>
    <t xml:space="preserve">TELEPHONE REASSURANCE </t>
  </si>
  <si>
    <t xml:space="preserve">CHORE </t>
  </si>
  <si>
    <t xml:space="preserve">TECH SUPPORT </t>
  </si>
  <si>
    <t>PET SUPPORT</t>
  </si>
  <si>
    <t xml:space="preserve">DIABETES SELF MANAGEMENT </t>
  </si>
  <si>
    <t xml:space="preserve">CHRONIC DISEASE SELF MANAGEMENT </t>
  </si>
  <si>
    <t xml:space="preserve">CHRONIC PAIN SELF MANAGEMENT </t>
  </si>
  <si>
    <t xml:space="preserve">SAVVY CAREGIVER </t>
  </si>
  <si>
    <t xml:space="preserve">BINGOCIZE </t>
  </si>
  <si>
    <t xml:space="preserve">MATTER OF BALANCE </t>
  </si>
  <si>
    <t>CHORE</t>
  </si>
  <si>
    <t>SPECIALISTS
ADMIN</t>
  </si>
  <si>
    <t xml:space="preserve"> (MIPPA, SMP)</t>
  </si>
  <si>
    <t>NON-DOEA</t>
  </si>
  <si>
    <t xml:space="preserve">ALLOCATED FUNDS </t>
  </si>
  <si>
    <t>CHANGE</t>
  </si>
  <si>
    <t>Ahrens</t>
  </si>
  <si>
    <t>Shelly</t>
  </si>
  <si>
    <t>Employee</t>
  </si>
  <si>
    <t>Chore Coordinator</t>
  </si>
  <si>
    <t>Alvarado</t>
  </si>
  <si>
    <t>Francisco</t>
  </si>
  <si>
    <t>Employee + Spouse</t>
  </si>
  <si>
    <t>IT Manager</t>
  </si>
  <si>
    <t>Aly</t>
  </si>
  <si>
    <t>Edita</t>
  </si>
  <si>
    <t xml:space="preserve">None </t>
  </si>
  <si>
    <t>Grant Accountant</t>
  </si>
  <si>
    <t>Arciniegas</t>
  </si>
  <si>
    <t>Jessica</t>
  </si>
  <si>
    <t xml:space="preserve">Employee+Spouse </t>
  </si>
  <si>
    <t>HR Generalist</t>
  </si>
  <si>
    <t>Arias</t>
  </si>
  <si>
    <t>Michelle</t>
  </si>
  <si>
    <t xml:space="preserve">VA Case Manager </t>
  </si>
  <si>
    <t>Armstrong</t>
  </si>
  <si>
    <t>Cheyenne</t>
  </si>
  <si>
    <t>Medicaid Benefits Counselor</t>
  </si>
  <si>
    <t>Ayers</t>
  </si>
  <si>
    <t>Hubert</t>
  </si>
  <si>
    <t>Finance Manager</t>
  </si>
  <si>
    <t>Barrows</t>
  </si>
  <si>
    <t>Tracy</t>
  </si>
  <si>
    <t xml:space="preserve">ADRC Director </t>
  </si>
  <si>
    <t>Bowers</t>
  </si>
  <si>
    <t>Terry</t>
  </si>
  <si>
    <t xml:space="preserve">SHINE Program Manager </t>
  </si>
  <si>
    <t>Brown</t>
  </si>
  <si>
    <t>Sandra</t>
  </si>
  <si>
    <t xml:space="preserve">Human Resources Manager </t>
  </si>
  <si>
    <t xml:space="preserve">Brown </t>
  </si>
  <si>
    <t>Jackie</t>
  </si>
  <si>
    <t xml:space="preserve">Medicaid  Benefits Counselor </t>
  </si>
  <si>
    <t>Bursch</t>
  </si>
  <si>
    <t>Mary Kathryn</t>
  </si>
  <si>
    <t xml:space="preserve">Outreach Manager </t>
  </si>
  <si>
    <t>Callahan-Ross</t>
  </si>
  <si>
    <t>Lisa</t>
  </si>
  <si>
    <t xml:space="preserve">Intake Specialist </t>
  </si>
  <si>
    <t>Carlson</t>
  </si>
  <si>
    <t>Donna</t>
  </si>
  <si>
    <t>Carlson (Mrekley)</t>
  </si>
  <si>
    <t>Receptionist</t>
  </si>
  <si>
    <t>Carr</t>
  </si>
  <si>
    <t>Leah</t>
  </si>
  <si>
    <t xml:space="preserve">Medicaid Benefits Counselor Coordinator </t>
  </si>
  <si>
    <t>Dangerfield</t>
  </si>
  <si>
    <t>Shea</t>
  </si>
  <si>
    <t>Darrah</t>
  </si>
  <si>
    <t>Georgie</t>
  </si>
  <si>
    <t xml:space="preserve">Assistant Director of Programs </t>
  </si>
  <si>
    <t>Davis</t>
  </si>
  <si>
    <t>Kaliegh</t>
  </si>
  <si>
    <t xml:space="preserve">Services Analyst </t>
  </si>
  <si>
    <t>Day</t>
  </si>
  <si>
    <t>Nicole</t>
  </si>
  <si>
    <t xml:space="preserve">Caregiver Specialist </t>
  </si>
  <si>
    <t>Didion</t>
  </si>
  <si>
    <t>Christine</t>
  </si>
  <si>
    <t>Director of Programs</t>
  </si>
  <si>
    <t>Dillon</t>
  </si>
  <si>
    <t xml:space="preserve">Fitzroy </t>
  </si>
  <si>
    <t xml:space="preserve">Information &amp; Assistance Specialist </t>
  </si>
  <si>
    <t>Eaton</t>
  </si>
  <si>
    <t xml:space="preserve">Bryce </t>
  </si>
  <si>
    <t>Elliott</t>
  </si>
  <si>
    <t>Jennifer</t>
  </si>
  <si>
    <t>Employee + Child(ren)</t>
  </si>
  <si>
    <t>Foley</t>
  </si>
  <si>
    <t>Foley(Manyen)</t>
  </si>
  <si>
    <t xml:space="preserve">Mdicaid Benefits Counselor </t>
  </si>
  <si>
    <t>Fortney</t>
  </si>
  <si>
    <t>Geralyn</t>
  </si>
  <si>
    <t>Galvan</t>
  </si>
  <si>
    <t>Cynthia</t>
  </si>
  <si>
    <t xml:space="preserve">GR Program Manager </t>
  </si>
  <si>
    <t>Garver</t>
  </si>
  <si>
    <t>Kristen</t>
  </si>
  <si>
    <t>Giambrone</t>
  </si>
  <si>
    <t>Victoria</t>
  </si>
  <si>
    <t xml:space="preserve">Executive Assistant </t>
  </si>
  <si>
    <t>Gonzalez</t>
  </si>
  <si>
    <t>Joel</t>
  </si>
  <si>
    <t>Graci</t>
  </si>
  <si>
    <t xml:space="preserve">Medicaid Benefits Counselor </t>
  </si>
  <si>
    <t>Guerra</t>
  </si>
  <si>
    <t>Luz</t>
  </si>
  <si>
    <t>Hade</t>
  </si>
  <si>
    <t xml:space="preserve">Iliana </t>
  </si>
  <si>
    <t>Intake</t>
  </si>
  <si>
    <t>Handa</t>
  </si>
  <si>
    <t>Parul</t>
  </si>
  <si>
    <t>Employee + Family</t>
  </si>
  <si>
    <t>Hart</t>
  </si>
  <si>
    <t>Edward</t>
  </si>
  <si>
    <t>Hazley</t>
  </si>
  <si>
    <t>Shakita</t>
  </si>
  <si>
    <t xml:space="preserve">Program Coordinator </t>
  </si>
  <si>
    <t>Hensler</t>
  </si>
  <si>
    <t>Jody</t>
  </si>
  <si>
    <t>No</t>
  </si>
  <si>
    <t xml:space="preserve">Caregiver Specialist Coordinator </t>
  </si>
  <si>
    <t>Herlache</t>
  </si>
  <si>
    <t>Margaret</t>
  </si>
  <si>
    <t xml:space="preserve">Senior Community Health Coordinator </t>
  </si>
  <si>
    <t>Hernandez</t>
  </si>
  <si>
    <t>Daphne</t>
  </si>
  <si>
    <t>Daphnie</t>
  </si>
  <si>
    <t>Heuerman</t>
  </si>
  <si>
    <t xml:space="preserve">Blake </t>
  </si>
  <si>
    <t>Hochstedler</t>
  </si>
  <si>
    <t>Jason</t>
  </si>
  <si>
    <t>Holder-Hurley</t>
  </si>
  <si>
    <t>Laura</t>
  </si>
  <si>
    <t xml:space="preserve">AP/Payroll Specialist </t>
  </si>
  <si>
    <t>Jalazo</t>
  </si>
  <si>
    <t>Kristina</t>
  </si>
  <si>
    <t xml:space="preserve">Vice President of Finance </t>
  </si>
  <si>
    <t>Johns</t>
  </si>
  <si>
    <t>Virginia</t>
  </si>
  <si>
    <t>Kershaw</t>
  </si>
  <si>
    <t>Nayomi</t>
  </si>
  <si>
    <t>ADI Program Manager</t>
  </si>
  <si>
    <t>Lauby</t>
  </si>
  <si>
    <t>Nathan</t>
  </si>
  <si>
    <t>Intake Specialist</t>
  </si>
  <si>
    <t>Lavandier</t>
  </si>
  <si>
    <t>Kharla</t>
  </si>
  <si>
    <t xml:space="preserve">Controller </t>
  </si>
  <si>
    <t>Leadingham</t>
  </si>
  <si>
    <t xml:space="preserve">Lauren </t>
  </si>
  <si>
    <t xml:space="preserve">Shine Program Assistant </t>
  </si>
  <si>
    <t>Marisha</t>
  </si>
  <si>
    <t>Eva</t>
  </si>
  <si>
    <t xml:space="preserve">SHINE Program Assistant </t>
  </si>
  <si>
    <t>Marsalek</t>
  </si>
  <si>
    <t>Kerry</t>
  </si>
  <si>
    <t xml:space="preserve">Director of Healthcare &amp; Community Innovation </t>
  </si>
  <si>
    <t>Martin</t>
  </si>
  <si>
    <t>Kendall Ann</t>
  </si>
  <si>
    <t xml:space="preserve">Kendall </t>
  </si>
  <si>
    <t>Martinez</t>
  </si>
  <si>
    <t>Edwin</t>
  </si>
  <si>
    <t>Martino</t>
  </si>
  <si>
    <t>Tawnya</t>
  </si>
  <si>
    <t>Chief Operating Officer</t>
  </si>
  <si>
    <t>Maulorico</t>
  </si>
  <si>
    <t>Debra</t>
  </si>
  <si>
    <t>Medicaid Waiver QA Specialist</t>
  </si>
  <si>
    <t>Miller</t>
  </si>
  <si>
    <t>Amanda</t>
  </si>
  <si>
    <t xml:space="preserve">Employee </t>
  </si>
  <si>
    <t xml:space="preserve">ADRC Helpline Manager </t>
  </si>
  <si>
    <t>Morales</t>
  </si>
  <si>
    <t>Hillary Sarah</t>
  </si>
  <si>
    <t xml:space="preserve">Hillary </t>
  </si>
  <si>
    <t>Executive Assistant</t>
  </si>
  <si>
    <t>Nault</t>
  </si>
  <si>
    <t>Remedios</t>
  </si>
  <si>
    <t>Nault (Sodano)</t>
  </si>
  <si>
    <t>Sara</t>
  </si>
  <si>
    <t xml:space="preserve">SMP Program Assistant </t>
  </si>
  <si>
    <t>Newman</t>
  </si>
  <si>
    <t>Shelby</t>
  </si>
  <si>
    <t xml:space="preserve">VA Case Manager Lead </t>
  </si>
  <si>
    <t>O'Neil</t>
  </si>
  <si>
    <t>McKenna</t>
  </si>
  <si>
    <t xml:space="preserve">McKenna </t>
  </si>
  <si>
    <t xml:space="preserve">Director of Strategic Advancement </t>
  </si>
  <si>
    <t xml:space="preserve">Oros </t>
  </si>
  <si>
    <t xml:space="preserve">Mental Health Counselor </t>
  </si>
  <si>
    <t>Owens</t>
  </si>
  <si>
    <t>Shavonne</t>
  </si>
  <si>
    <t>Palacio</t>
  </si>
  <si>
    <t>Adriana</t>
  </si>
  <si>
    <t>Radak</t>
  </si>
  <si>
    <t>Dijana</t>
  </si>
  <si>
    <t xml:space="preserve">MHSI Counselor </t>
  </si>
  <si>
    <t>Rennick</t>
  </si>
  <si>
    <t>Rivera</t>
  </si>
  <si>
    <t xml:space="preserve">Yessie </t>
  </si>
  <si>
    <t xml:space="preserve">OAA Program Manager </t>
  </si>
  <si>
    <t>Rubin</t>
  </si>
  <si>
    <t>Raquel</t>
  </si>
  <si>
    <t>Russo</t>
  </si>
  <si>
    <t xml:space="preserve">Devon </t>
  </si>
  <si>
    <t xml:space="preserve">Data IT Support Specialist </t>
  </si>
  <si>
    <t>Sanchez</t>
  </si>
  <si>
    <t>Arlene</t>
  </si>
  <si>
    <t xml:space="preserve">Intake Specialist Coordinator </t>
  </si>
  <si>
    <t>Sarivong</t>
  </si>
  <si>
    <t>Douangchai</t>
  </si>
  <si>
    <t>Scaramuzzini</t>
  </si>
  <si>
    <t xml:space="preserve">Anthony </t>
  </si>
  <si>
    <t>Settle</t>
  </si>
  <si>
    <t>Regina</t>
  </si>
  <si>
    <t xml:space="preserve">Settle </t>
  </si>
  <si>
    <t xml:space="preserve">Regina </t>
  </si>
  <si>
    <t xml:space="preserve">Chore Services Coordinator </t>
  </si>
  <si>
    <t>Sleva</t>
  </si>
  <si>
    <t>Zoey</t>
  </si>
  <si>
    <t xml:space="preserve">Sleva </t>
  </si>
  <si>
    <t xml:space="preserve">Chore Services Specialist </t>
  </si>
  <si>
    <t>Valdes</t>
  </si>
  <si>
    <t>Elizabeth</t>
  </si>
  <si>
    <t>Vinciguerra</t>
  </si>
  <si>
    <t>Lucia</t>
  </si>
  <si>
    <t>Waller</t>
  </si>
  <si>
    <t>Zakiya</t>
  </si>
  <si>
    <t xml:space="preserve">Senior Accountant </t>
  </si>
  <si>
    <t>White</t>
  </si>
  <si>
    <t>Kandice</t>
  </si>
  <si>
    <t xml:space="preserve">Lead Service Analyst </t>
  </si>
  <si>
    <t>Winter</t>
  </si>
  <si>
    <t>Ann Marie</t>
  </si>
  <si>
    <t xml:space="preserve">Executive Director </t>
  </si>
  <si>
    <t>Young</t>
  </si>
  <si>
    <t>Stephanie</t>
  </si>
  <si>
    <t xml:space="preserve">Young </t>
  </si>
  <si>
    <t xml:space="preserve">Health and Wellness Specialist </t>
  </si>
  <si>
    <t>Vacant</t>
  </si>
  <si>
    <t>EHEAP Coordinator</t>
  </si>
  <si>
    <t xml:space="preserve">EHEAP Coordinator </t>
  </si>
  <si>
    <t>I&amp;R Specialist</t>
  </si>
  <si>
    <t>HUD Coordinator</t>
  </si>
  <si>
    <t>Medicaid Benefits Councelor</t>
  </si>
  <si>
    <t>OAA Program Manager</t>
  </si>
  <si>
    <t>I&amp;R Liason</t>
  </si>
  <si>
    <t>Guide Care Coordinator</t>
  </si>
  <si>
    <t xml:space="preserve">Guide Care Coordinator </t>
  </si>
  <si>
    <t>Controller</t>
  </si>
  <si>
    <t xml:space="preserve">Chief Operating Officer </t>
  </si>
  <si>
    <t xml:space="preserve">PT VA Case Manager </t>
  </si>
  <si>
    <t>OVERTIME</t>
  </si>
  <si>
    <t>ACCRUED LEAVE</t>
  </si>
  <si>
    <t>TOTAL PERSONNEL SALARIES</t>
  </si>
  <si>
    <t>TOTAL GROSS AVAIL HRS</t>
  </si>
  <si>
    <t xml:space="preserve">Note 1:  Enter on the last page of this Operating Budget a narrative explanation of the use of funds (salary and other) from Title IIIB Set Aside (LAN), Title IIIB I&amp;R, and any other DOEA-funded special project (separately for each category of funds).  Break out federally funded expenditures from other sources of funding. </t>
  </si>
  <si>
    <t>Note 2:   Enter on the last page of this Operating Budget a narrative explanation of bonuses paid that ensures they have been approved by the Board of Directors.</t>
  </si>
  <si>
    <t>2.  IN-KIND SALARIES</t>
  </si>
  <si>
    <t>TOTAL DOEA</t>
  </si>
  <si>
    <t>ALLOCATED</t>
  </si>
  <si>
    <t>VOLUNTEER</t>
  </si>
  <si>
    <t>TOTAL IN-KIND SALARIES</t>
  </si>
  <si>
    <t>TOTAL SALARIES</t>
  </si>
  <si>
    <t>3. FRINGE BENEFITS</t>
  </si>
  <si>
    <t xml:space="preserve"> RETIREMENT</t>
  </si>
  <si>
    <t xml:space="preserve"> SOCIAL SECURITY</t>
  </si>
  <si>
    <t xml:space="preserve"> FL UNEMP. COMP.</t>
  </si>
  <si>
    <t>50310+50320+50330+50375+50376</t>
  </si>
  <si>
    <t>EMPLOYEE INSURANCE</t>
  </si>
  <si>
    <t xml:space="preserve">LIFE INSURANCE </t>
  </si>
  <si>
    <t>WORKERS COMPENSATION</t>
  </si>
  <si>
    <t>TOTAL FRINGE BENEFITS</t>
  </si>
  <si>
    <t>4. TRAVEL</t>
  </si>
  <si>
    <t>TECH SUPPORT</t>
  </si>
  <si>
    <t>TRAVEL (In-Area)</t>
  </si>
  <si>
    <t>TRAVEL (In-State/Conferences) - FCOA*</t>
  </si>
  <si>
    <t>TRAVEL (Out-of State/Conferences) - N4A, AoA, FLAIRS, USAging, SE4A*</t>
  </si>
  <si>
    <t>BOARD &amp; VOLUNTEER</t>
  </si>
  <si>
    <t>TOTAL TRAVEL</t>
  </si>
  <si>
    <t>* Note 3:  For each  in and out-of-state conference budgeted, enter on the last page of this Operating Budget, the name of the conference, the number attending, and the amount budgeted.</t>
  </si>
  <si>
    <t>5. BUILDING SPACE</t>
  </si>
  <si>
    <t xml:space="preserve"> </t>
  </si>
  <si>
    <t>DEPRECIATION - BUILDING</t>
  </si>
  <si>
    <t>50810-50890</t>
  </si>
  <si>
    <t>INSURANCE</t>
  </si>
  <si>
    <t>REPAIR AND MAINTENANCE</t>
  </si>
  <si>
    <t>RENT, LEASE, OR MORTGAGE</t>
  </si>
  <si>
    <t>TOTAL BUILDING SPACE</t>
  </si>
  <si>
    <t>6. COMMUNICATIONS &amp; UTILITIES</t>
  </si>
  <si>
    <t>TELEPHONE - Local/broadband</t>
  </si>
  <si>
    <t>50610-50710</t>
  </si>
  <si>
    <t>CELL PHONES</t>
  </si>
  <si>
    <t>VPN</t>
  </si>
  <si>
    <t>POSTAGE</t>
  </si>
  <si>
    <t>UTILITIES</t>
  </si>
  <si>
    <t>TOTAL COMMUNICATION &amp; UTILITIES</t>
  </si>
  <si>
    <t>7.  PRINTING &amp; SUPPLIES</t>
  </si>
  <si>
    <t>GENERAL OFFICE SUPPLIES / EQUIPMENT UNDER $1,500.00</t>
  </si>
  <si>
    <t>51720-51730</t>
  </si>
  <si>
    <t>PRINTING AND REPRODUCTION</t>
  </si>
  <si>
    <t>TOTAL PRINTING &amp; SUPPLIES</t>
  </si>
  <si>
    <t>Note 4:  Enter on the last page of this Operating Budget a narrative explanation of planned expenditures in the communications category.</t>
  </si>
  <si>
    <t>8.  EQUIPMENT</t>
  </si>
  <si>
    <t>DEPRECIATION - EQUIPMENT</t>
  </si>
  <si>
    <t xml:space="preserve">SMALL OFFICE FURNITURE/EQUIPMENT </t>
  </si>
  <si>
    <t>OFFICE FURN / EQUIPT. OVER $1,000.00</t>
  </si>
  <si>
    <t>51210/51220/51360</t>
  </si>
  <si>
    <t>COMPUTER HARDWARE/SOFTWARE</t>
  </si>
  <si>
    <t>TOTAL EQUIPMENT</t>
  </si>
  <si>
    <t>9. OTHER COSTS (UNIQUE TO AAA)</t>
  </si>
  <si>
    <t>50380-51810-51820-51910-51920-51940-51950</t>
  </si>
  <si>
    <t>LEGAL, AUDIT, PROFESSIONAL FEES</t>
  </si>
  <si>
    <t>PROGRAM SUPPLIES</t>
  </si>
  <si>
    <t>52310-52420-53190-53200</t>
  </si>
  <si>
    <t xml:space="preserve">ADVERTISING/RECRUITMENT/MARKETING </t>
  </si>
  <si>
    <t>TEMPORARY HELP</t>
  </si>
  <si>
    <t xml:space="preserve">EQUIPMENT LEASE </t>
  </si>
  <si>
    <t>STORAGE (DATA &amp; OFFSITE)</t>
  </si>
  <si>
    <t>MAINTENANCE AGREEMENTS</t>
  </si>
  <si>
    <t>DUES AND SUBSCRIPTIONS</t>
  </si>
  <si>
    <t>51010-51020-52440</t>
  </si>
  <si>
    <t xml:space="preserve">PROFESSIONAL DEVELOPMENT AND TRAINING </t>
  </si>
  <si>
    <t>STAFF APPRECIATION</t>
  </si>
  <si>
    <t>BACKGROUND SCREENINGS</t>
  </si>
  <si>
    <t>PUBLICATIONS  (Total)</t>
  </si>
  <si>
    <t>54550-54555-54560</t>
  </si>
  <si>
    <t>SUB-CONTRACTOR(S) (List in row below)</t>
  </si>
  <si>
    <t>MISCELLANEOUS COSTS</t>
  </si>
  <si>
    <t>TOTAL OTHER COSTS</t>
  </si>
  <si>
    <t xml:space="preserve">IN-KIND </t>
  </si>
  <si>
    <t>TOTAL ALL COSTS</t>
  </si>
  <si>
    <t>Note 5:  Enter on the last page of this Operating Budget a narrative explanation for planned purchases/expenditures in the equipment and other categories in the Title IIIB Set Aside, Title IIIB I&amp;R, and any other DOEA-funded special project (separately for each category of funds).  Break out federally funded expenditures from other sources of funding.</t>
  </si>
  <si>
    <t>10. REVENUES</t>
  </si>
  <si>
    <t xml:space="preserve">ADRC </t>
  </si>
  <si>
    <t>FEDERAL</t>
  </si>
  <si>
    <t>STATE GENERAL REVENUE</t>
  </si>
  <si>
    <t>44100-44110,44400</t>
  </si>
  <si>
    <t xml:space="preserve">OTHER FUNDS </t>
  </si>
  <si>
    <t>IN-KIND</t>
  </si>
  <si>
    <t>TOTAL REVENUES</t>
  </si>
  <si>
    <t>TOTAL EXPENSES</t>
  </si>
  <si>
    <t>TOTAL REVENUE - EXPENSES</t>
  </si>
  <si>
    <t>PERCENT REVENUE</t>
  </si>
  <si>
    <t>PERCENT CHANGE</t>
  </si>
  <si>
    <t xml:space="preserve">PSA:                    Original Submission Date:                                    </t>
  </si>
  <si>
    <r>
      <t>C.II.C. - Financial and Compliance Audit Schedule</t>
    </r>
    <r>
      <rPr>
        <sz val="14"/>
        <rFont val="Times New Roman"/>
        <family val="1"/>
      </rPr>
      <t xml:space="preserve"> </t>
    </r>
  </si>
  <si>
    <t>Instructions: Enter the financial and compliance audit schedule for your sub-contractor agencies.</t>
  </si>
  <si>
    <t>Sub-Contractor Agency</t>
  </si>
  <si>
    <t>Sub-Contractor Fiscal Year</t>
  </si>
  <si>
    <t>Last Audit Period End Date</t>
  </si>
  <si>
    <t>Status of Action on Audit Findings and Recommendations</t>
  </si>
  <si>
    <t>Date Due to Contract Manager</t>
  </si>
  <si>
    <t>Estimated Date of Next Report</t>
  </si>
  <si>
    <t>Bay Area Legal</t>
  </si>
  <si>
    <t>No findings</t>
  </si>
  <si>
    <t>Gulf Coast Jewish</t>
  </si>
  <si>
    <t>Gulf Coast Legal</t>
  </si>
  <si>
    <t>No Findings</t>
  </si>
  <si>
    <t>Neighborly  Care Network</t>
  </si>
  <si>
    <r>
      <t xml:space="preserve">C.III - AAA MONITORING SCHEDULE </t>
    </r>
    <r>
      <rPr>
        <i/>
        <sz val="14"/>
        <rFont val="Times New Roman"/>
        <family val="1"/>
      </rPr>
      <t xml:space="preserve"> </t>
    </r>
  </si>
  <si>
    <t>This worksheet contains a description of the AAA fiscal and programmatic monitoring schedule, to include all DOEA-funded service providers.</t>
  </si>
  <si>
    <t>Date
 of Visit</t>
  </si>
  <si>
    <t>Program /
Service</t>
  </si>
  <si>
    <t>Fiscal Admin/
Programmatic</t>
  </si>
  <si>
    <t>Gulf Coast Jewish Family and Community Services</t>
  </si>
  <si>
    <t>ADI, CCE, HCE &amp; OAA IIIB/LSP</t>
  </si>
  <si>
    <t xml:space="preserve">Fiscal Admin/Programmatic </t>
  </si>
  <si>
    <t>Bay Area Legal Services</t>
  </si>
  <si>
    <t>OAA IIIB/OA3EG/LSP</t>
  </si>
  <si>
    <t>Pasco County Government</t>
  </si>
  <si>
    <t>ADI, CCE, HCE &amp; EHEAP, OAA IIIB/LSP, OAA IIIC1/IIIC2/LSP</t>
  </si>
  <si>
    <t>Pinellas Opportunity Council</t>
  </si>
  <si>
    <t>Gulfcoast Legal</t>
  </si>
  <si>
    <t>Neighborly Care Network</t>
  </si>
  <si>
    <t>OAA IIIB/LSP/LSP Respite, OAA IIIC1/IIIC2/LSP</t>
  </si>
  <si>
    <t>YMCA of the Suncoast</t>
  </si>
  <si>
    <t>OAA IIID</t>
  </si>
  <si>
    <t>Pasco Senior Home Care</t>
  </si>
  <si>
    <t>OAA IIIB/LSP</t>
  </si>
  <si>
    <t>Personal Response Corporation</t>
  </si>
  <si>
    <t>desk review 09/08/2026</t>
  </si>
  <si>
    <t xml:space="preserve">AAAPP </t>
  </si>
  <si>
    <t xml:space="preserve">varies for each program </t>
  </si>
  <si>
    <t>OAA IIIB/OAAIID/OAAIIIE/OAA Tile VII/LSP/CCE/ADI</t>
  </si>
  <si>
    <t xml:space="preserve">Programmatic </t>
  </si>
  <si>
    <t xml:space="preserve">Four Murphy's LLC dba Home Instead Senior Care </t>
  </si>
  <si>
    <t>C.IV - CONTRACT AND COMMERCIAL RELATIONSHIPS</t>
  </si>
  <si>
    <t>This worksheet contains contact information for each contract and commercial relationship that the AAA holds including Community Focal Points, Senior Centers, Lead Agencies, and Aging and Disability Resource Center Access Points. This also includes any contracts and commercial relationships not funded by DOEA.</t>
  </si>
  <si>
    <t xml:space="preserve">Instructions for completing the form: Provider information needed for this report that was not entered in eCIRTS will need to be manually added. In addition, information for some providers may be needed that is not in eCIRTS and will need to be manually updated. Each row should be reviewed for accuracy before the report is submitted.  
</t>
  </si>
  <si>
    <r>
      <t xml:space="preserve">For each provider, complete each of the applicable fields in the row. </t>
    </r>
    <r>
      <rPr>
        <i/>
        <sz val="12"/>
        <color rgb="FFFF0000"/>
        <rFont val="Times New Roman"/>
        <family val="1"/>
      </rPr>
      <t>Add a new row for each program the provider receives funding from the AAA. For providers serving more than one county in column K, type the county name, then press the Alt and Enter buttons at the same time to enter a new row within the cell.</t>
    </r>
    <r>
      <rPr>
        <i/>
        <sz val="12"/>
        <rFont val="Times New Roman"/>
        <family val="1"/>
      </rPr>
      <t xml:space="preserve"> Enter the information in each of the cells in the contact information section. In the Programmatic Information  section, enter the </t>
    </r>
    <r>
      <rPr>
        <i/>
        <sz val="12"/>
        <color rgb="FFFF0000"/>
        <rFont val="Times New Roman"/>
        <family val="1"/>
      </rPr>
      <t xml:space="preserve">contract amount </t>
    </r>
    <r>
      <rPr>
        <i/>
        <sz val="12"/>
        <rFont val="Times New Roman"/>
        <family val="1"/>
      </rPr>
      <t xml:space="preserve">in each applicable cell. </t>
    </r>
    <r>
      <rPr>
        <i/>
        <sz val="12"/>
        <color rgb="FFFF0000"/>
        <rFont val="Times New Roman"/>
        <family val="1"/>
      </rPr>
      <t xml:space="preserve">For columns AC and AD, specify the program name/funding source and the contract amount in the column (ex: NCOA Falls Prevention Grant, $50,000) if there are any additional programs. </t>
    </r>
    <r>
      <rPr>
        <i/>
        <sz val="12"/>
        <rFont val="Times New Roman"/>
        <family val="1"/>
      </rPr>
      <t xml:space="preserve"> In AG, provide the name of the sponsoring organization in the relevant cell if the provider is a Senior Center or Focal point. For Access Points, Focal Points, and Senior Centers, leave the programmatic information blank. The intention is to only have to enter a provider once. However, providers that serve multiple counties will have a row for each county. Providers that are primary contractors but also subcontractors for DOEA services will need to complete a row for each entity for whom the provider is the subcontractor in addition to the row that reflects the information as a Primary Contractor. The intent is to be able to sort the spreadsheet by county, program, or any of the programmatic information and have a list of providers while limiting the amount of data entry.  Add rows as necessary.</t>
    </r>
  </si>
  <si>
    <t>For any non-DOEA funding, please add a Note below with the following information:
1. Name of funding source and specific grant name, if applicable.
2.  What specific or types of services will be provided with these funds?
3. Will multiple AAAs have contractual obligations under this agreement? If yes, please identify the AAAs and describe the obligations of each.</t>
  </si>
  <si>
    <t>Contact Information</t>
  </si>
  <si>
    <t>Programmatic Information</t>
  </si>
  <si>
    <t>Mailing Address</t>
  </si>
  <si>
    <t>Physical Address</t>
  </si>
  <si>
    <t>Type of Organization</t>
  </si>
  <si>
    <r>
      <t>Sponsoring Organizati</t>
    </r>
    <r>
      <rPr>
        <b/>
        <sz val="11"/>
        <rFont val="Calibri"/>
        <family val="2"/>
      </rPr>
      <t xml:space="preserve">on Name
</t>
    </r>
    <r>
      <rPr>
        <b/>
        <sz val="9"/>
        <rFont val="Calibri"/>
        <family val="2"/>
      </rPr>
      <t>(if Sr. Center or Focal Point is checked)</t>
    </r>
  </si>
  <si>
    <t>Check each box that applies to the Sr. Center operations</t>
  </si>
  <si>
    <t>Row #</t>
  </si>
  <si>
    <t>Agency Name</t>
  </si>
  <si>
    <t>Street  Address</t>
  </si>
  <si>
    <t>City</t>
  </si>
  <si>
    <t>Zip Code</t>
  </si>
  <si>
    <t>Street Address</t>
  </si>
  <si>
    <t xml:space="preserve">County </t>
  </si>
  <si>
    <t xml:space="preserve">County Served </t>
  </si>
  <si>
    <t>Zip
 Code</t>
  </si>
  <si>
    <t>Phone Number</t>
  </si>
  <si>
    <t>Fax</t>
  </si>
  <si>
    <t>Director Name</t>
  </si>
  <si>
    <t>Contact Person Name</t>
  </si>
  <si>
    <t>CCE
Lead Agency</t>
  </si>
  <si>
    <t>Govt.</t>
  </si>
  <si>
    <t>Non-Profit</t>
  </si>
  <si>
    <t>Profit- Making</t>
  </si>
  <si>
    <t>ADMIN (Please List Admin Source)</t>
  </si>
  <si>
    <t>Other
(Please List)</t>
  </si>
  <si>
    <t>Access 
Point</t>
  </si>
  <si>
    <t>Focal Point</t>
  </si>
  <si>
    <t>Senior Center</t>
  </si>
  <si>
    <t>Congregate
Dining</t>
  </si>
  <si>
    <t>Health
Screening</t>
  </si>
  <si>
    <t>Recreational
Class</t>
  </si>
  <si>
    <t>Learning
Opportunities</t>
  </si>
  <si>
    <t>Regular
Hours</t>
  </si>
  <si>
    <t>A PALMS PERSONAL CARE &amp; HOMEMAKING SERVICES LLC</t>
  </si>
  <si>
    <t>3515 PALM HARBOR BLVD, SUITE A</t>
  </si>
  <si>
    <t>PALM HARBOR</t>
  </si>
  <si>
    <t xml:space="preserve">PINELLAS </t>
  </si>
  <si>
    <t>727-682-0054</t>
  </si>
  <si>
    <t>727-935-4844</t>
  </si>
  <si>
    <t>JOCELYN READEY</t>
  </si>
  <si>
    <t>X</t>
  </si>
  <si>
    <t>ABC PEST CONTROL</t>
  </si>
  <si>
    <t>13275 66TH ST N</t>
  </si>
  <si>
    <t>LARGO</t>
  </si>
  <si>
    <t>727-546-8787</t>
  </si>
  <si>
    <t>727-541-7804</t>
  </si>
  <si>
    <t>HOLLY SCHULTZ</t>
  </si>
  <si>
    <t>ADT, LLC</t>
  </si>
  <si>
    <t>32100 US HIGHWAY 19 NORTH</t>
  </si>
  <si>
    <t>877-456-1787</t>
  </si>
  <si>
    <t>727-666-4390</t>
  </si>
  <si>
    <t>ANDREW DRONEY</t>
  </si>
  <si>
    <t>SAMUEL DAULER</t>
  </si>
  <si>
    <t>AGELESS PLACEMENTS</t>
  </si>
  <si>
    <t>6709 RIDGE ROAD SUITE 102</t>
  </si>
  <si>
    <t>PORT RICHEY</t>
  </si>
  <si>
    <t>727-797-8580</t>
  </si>
  <si>
    <t>727-797-8564</t>
  </si>
  <si>
    <t>MARION THOMSON</t>
  </si>
  <si>
    <t>ALWAYS DEPENDABLE INC</t>
  </si>
  <si>
    <t xml:space="preserve">5503 38TH AVE. N. </t>
  </si>
  <si>
    <t>ST PETERSBURG</t>
  </si>
  <si>
    <t>727-544-2927</t>
  </si>
  <si>
    <t>727-544-7548</t>
  </si>
  <si>
    <t>DAWN NEMETHY</t>
  </si>
  <si>
    <t>ANGELS UNIQUE, LLC</t>
  </si>
  <si>
    <t>37738 BOUGAINVILLEA AVE.</t>
  </si>
  <si>
    <t>DADE CITY</t>
  </si>
  <si>
    <t>813-469-1823</t>
  </si>
  <si>
    <t>352-504-4509</t>
  </si>
  <si>
    <t>KAREN PERGERSON</t>
  </si>
  <si>
    <t>AREA AGENCY ON AGING PASCO-PINELLAS, INC</t>
  </si>
  <si>
    <t xml:space="preserve">9549 KOGER BLVD, SUITE 100  </t>
  </si>
  <si>
    <t>ST. PETERSBURG</t>
  </si>
  <si>
    <t>727-570-9696</t>
  </si>
  <si>
    <t>727-258-9225</t>
  </si>
  <si>
    <t>ANN MARIE WINTER</t>
  </si>
  <si>
    <t>TAWNYA MARTINO</t>
  </si>
  <si>
    <t>AURA HOME HEALTH SERVICES, INC.</t>
  </si>
  <si>
    <t>1250 ROGERS ST. SUITE D</t>
  </si>
  <si>
    <t>CLEARWATER</t>
  </si>
  <si>
    <t>727-329-7098</t>
  </si>
  <si>
    <t>TERRY/KAREN PERGERSON</t>
  </si>
  <si>
    <t xml:space="preserve">PASCO </t>
  </si>
  <si>
    <t>BAY AREA LEGAL SERVICES</t>
  </si>
  <si>
    <t>1302 N 19TH ST, #400</t>
  </si>
  <si>
    <t>TAMPA</t>
  </si>
  <si>
    <t>813-232-1343</t>
  </si>
  <si>
    <t>813-232-1403</t>
  </si>
  <si>
    <t>LUZ VAZQUEZ</t>
  </si>
  <si>
    <t>CARING COMMUNITY COUNSELING, LLC</t>
  </si>
  <si>
    <t xml:space="preserve">3840 5TH AVE N  </t>
  </si>
  <si>
    <t>727-367-2273</t>
  </si>
  <si>
    <t>727-800-6929</t>
  </si>
  <si>
    <t>AMBER CALHOUN</t>
  </si>
  <si>
    <t>CASTLE HEALTHCARE, INC. DBA HOME INSTEAD</t>
  </si>
  <si>
    <t xml:space="preserve">14202 62ND ST N </t>
  </si>
  <si>
    <t>727-799-1400</t>
  </si>
  <si>
    <t>727-799-3958</t>
  </si>
  <si>
    <t xml:space="preserve">JULIE CASTLE </t>
  </si>
  <si>
    <t xml:space="preserve">COLIN CASTLE </t>
  </si>
  <si>
    <t>COMMUNITY HEATH CENTERS OF PINELLAS dba EVARA HEALTH</t>
  </si>
  <si>
    <t>14100 58TH ST</t>
  </si>
  <si>
    <t>727-824-8181</t>
  </si>
  <si>
    <t>ANGELES RODRIGUES</t>
  </si>
  <si>
    <t>CSI CATALANO'S NURSES REGISTRY, INC</t>
  </si>
  <si>
    <t>PO BOX 403740</t>
  </si>
  <si>
    <t>ATLANTA</t>
  </si>
  <si>
    <t>GEORGIA</t>
  </si>
  <si>
    <t>26133 US 19 N SUITE 310</t>
  </si>
  <si>
    <t>727-532-3812</t>
  </si>
  <si>
    <t>727-532-3876</t>
  </si>
  <si>
    <t>JOSEPH BONACCORSI</t>
  </si>
  <si>
    <t>VERONIKA DZIENKIS</t>
  </si>
  <si>
    <t>EASY LIVING, INC.</t>
  </si>
  <si>
    <t>1180 PONCE DELEON BLVD, #701</t>
  </si>
  <si>
    <t>727-447-5845</t>
  </si>
  <si>
    <t>727-461-0001</t>
  </si>
  <si>
    <t>ALEX CHAMBERLAIN</t>
  </si>
  <si>
    <t>EASY LIVING,INC.</t>
  </si>
  <si>
    <t>1181 PONCE DELEON BLVD, #701</t>
  </si>
  <si>
    <t>ELDERCLUB PORT RICHEY, INC.</t>
  </si>
  <si>
    <t>9735 US HWY 19</t>
  </si>
  <si>
    <t>727-484-7199</t>
  </si>
  <si>
    <t>727-484-7198</t>
  </si>
  <si>
    <t>LEE SHAHAN</t>
  </si>
  <si>
    <t>EMERALD CLOVER, LLC DBA ELLIE MENTAL HEALTH ST. PETERSBURG</t>
  </si>
  <si>
    <t>9400 4TH ST. SUITE 200</t>
  </si>
  <si>
    <t>813-508-7866</t>
  </si>
  <si>
    <t>727-499-7999</t>
  </si>
  <si>
    <t>ALLEN WHISLER</t>
  </si>
  <si>
    <t>KATHERINE PLANCHARD</t>
  </si>
  <si>
    <t>EMPATH FOR YOU LLC DBA EMPATH PERSONAL CARE</t>
  </si>
  <si>
    <t>6310 CAPITAL DRIVE</t>
  </si>
  <si>
    <t>LAKEWOOD RANCH</t>
  </si>
  <si>
    <t>MANATEE</t>
  </si>
  <si>
    <t>727-323-4266</t>
  </si>
  <si>
    <t>727-323-2401</t>
  </si>
  <si>
    <t>SAIDA BOUHAMID</t>
  </si>
  <si>
    <t>TRACIE TURNER</t>
  </si>
  <si>
    <t>ETAIRO'S HEALTH, INC.</t>
  </si>
  <si>
    <t>PO BOX 4484</t>
  </si>
  <si>
    <t>HOUSTON</t>
  </si>
  <si>
    <t>TEXAS</t>
  </si>
  <si>
    <t>2708 ALT. 19 SUITE 501</t>
  </si>
  <si>
    <t>727-723-7532</t>
  </si>
  <si>
    <t>SCOTT GEORGE</t>
  </si>
  <si>
    <t>MARISOL ROSS</t>
  </si>
  <si>
    <t>FLORIDA CONCERNED CARE LLC DBA RIGHT AT HOME CENTRAL PINELLAS</t>
  </si>
  <si>
    <t>304 SOUTH BELCHER RD SUITE A</t>
  </si>
  <si>
    <t>727-400-4700</t>
  </si>
  <si>
    <t>727-674-1540</t>
  </si>
  <si>
    <t xml:space="preserve">PETER SNELLING </t>
  </si>
  <si>
    <t>JOSEPH KNIGHT</t>
  </si>
  <si>
    <t>FLORIDA TEEL SPECIALITY BUILDERS, LLC</t>
  </si>
  <si>
    <t>3135 39TH AVE N, SUITE 9</t>
  </si>
  <si>
    <t>TONI ESPOSITO</t>
  </si>
  <si>
    <t>FOUR MURPHYS LLC DBA HOME INSTEAD SENIOR CARE</t>
  </si>
  <si>
    <t>5425 MAIN ST</t>
  </si>
  <si>
    <t>NEW PORT RICHEY</t>
  </si>
  <si>
    <t>727-845-5819</t>
  </si>
  <si>
    <t>727-845-9008</t>
  </si>
  <si>
    <t>JOHN MURPHY</t>
  </si>
  <si>
    <t>GENESIS ARMANI HOMECARE DBA PREFERRED CARE AT HOME</t>
  </si>
  <si>
    <t>1537 DALE MABRY HWY, SUITE 201</t>
  </si>
  <si>
    <t>LUTZ</t>
  </si>
  <si>
    <t>813-337-6587</t>
  </si>
  <si>
    <t>813-724-3474</t>
  </si>
  <si>
    <t>GENESIS ARMANI</t>
  </si>
  <si>
    <t>GTB HOME HEALTHCARE SOLUTIONS INC DBA HOME CARE NOW</t>
  </si>
  <si>
    <t>29750 US HWY 19 N, SUITE 203</t>
  </si>
  <si>
    <t>29750 US HWY 19 N, SUITE 301</t>
  </si>
  <si>
    <t>727-330-7844</t>
  </si>
  <si>
    <t>727-361-6007</t>
  </si>
  <si>
    <t>DENISE SEAMAN</t>
  </si>
  <si>
    <t>GUARDIAN ANGEL HOME CARE</t>
  </si>
  <si>
    <t>6572 SEMINOLE BOULEVARD, SUITE 8</t>
  </si>
  <si>
    <t>SEMINOLE</t>
  </si>
  <si>
    <t>727-392-4243</t>
  </si>
  <si>
    <t>727-392-4232</t>
  </si>
  <si>
    <t>SUSAN GERINO</t>
  </si>
  <si>
    <t>GUARDIAN MEDICAL MONITORING LLC</t>
  </si>
  <si>
    <t>3000 TOWN CENTER SUITE 2555</t>
  </si>
  <si>
    <t>SOUTHFIELD</t>
  </si>
  <si>
    <t>MISSOURI</t>
  </si>
  <si>
    <t>888-349-2400</t>
  </si>
  <si>
    <t>877-205-3621</t>
  </si>
  <si>
    <t>TERRY KEALAMAKIA</t>
  </si>
  <si>
    <t>BEN WALLACE</t>
  </si>
  <si>
    <t>GULFCOAST JEWISH FAMILY AND COMMUNITY SERVICES, INC.</t>
  </si>
  <si>
    <t xml:space="preserve">14041 ICOT BLVD  </t>
  </si>
  <si>
    <t>727-479-1800</t>
  </si>
  <si>
    <t>SANDRA BRAHAM</t>
  </si>
  <si>
    <t>CHRISTINE KROHN</t>
  </si>
  <si>
    <t>GULFCOAST LEGAL SERVICES, INC.</t>
  </si>
  <si>
    <t xml:space="preserve">501 FIRST AVENUE NORTH SUITE 420 </t>
  </si>
  <si>
    <t>PINELLAS - SOUTH</t>
  </si>
  <si>
    <t>727-821-0726</t>
  </si>
  <si>
    <t>727-821-3340</t>
  </si>
  <si>
    <t>THERESA PRICHARD</t>
  </si>
  <si>
    <t>JODI DUDA</t>
  </si>
  <si>
    <t>HEALTH AID COMPANY INC</t>
  </si>
  <si>
    <t xml:space="preserve">4502 N. ARMENIA AVENUE  </t>
  </si>
  <si>
    <t>HILLSBOROUGH</t>
  </si>
  <si>
    <t>813-879-7552</t>
  </si>
  <si>
    <t>813-879-1600</t>
  </si>
  <si>
    <t>JOANNA WILSON</t>
  </si>
  <si>
    <t>MIKE MENSZYCKI</t>
  </si>
  <si>
    <t>HELPING SOLUTIONS,INC.</t>
  </si>
  <si>
    <t>608 7TH STREET SE</t>
  </si>
  <si>
    <t>727-487-4427</t>
  </si>
  <si>
    <t>727-559-1553</t>
  </si>
  <si>
    <t>DAWN COOKE</t>
  </si>
  <si>
    <t>HOME HEALTH WORKS, LLC</t>
  </si>
  <si>
    <t xml:space="preserve">301 TURNER STREET SUITE A </t>
  </si>
  <si>
    <t>1221 TURNER STREET SUITE 203</t>
  </si>
  <si>
    <t>727-442-5612</t>
  </si>
  <si>
    <t>727-449-9906</t>
  </si>
  <si>
    <t>ERICA VARGAS</t>
  </si>
  <si>
    <t>SUSAN MINKOFF</t>
  </si>
  <si>
    <t>JOPA INVESTMENTS DBA BATH FITTER</t>
  </si>
  <si>
    <t>2030 CALUMET STEET</t>
  </si>
  <si>
    <t>2030 CALUMET STREET</t>
  </si>
  <si>
    <t>727-298-8827</t>
  </si>
  <si>
    <t>727-298-8828</t>
  </si>
  <si>
    <t>JODY SMITH</t>
  </si>
  <si>
    <t>JOHN STASICKY</t>
  </si>
  <si>
    <t>2031 CALUMET STEET</t>
  </si>
  <si>
    <t>2031 CALUMET STREET</t>
  </si>
  <si>
    <t>LEMON THERAPY, LLC</t>
  </si>
  <si>
    <t>9734 KATHY DR</t>
  </si>
  <si>
    <t>HUDSON</t>
  </si>
  <si>
    <t>507-244-1393</t>
  </si>
  <si>
    <t>HANNAH GANSKP</t>
  </si>
  <si>
    <t>HANNA GANSKOP</t>
  </si>
  <si>
    <t>M &amp; M HEALTH HOLDINGS INC DBA MIND AND MOBILITY</t>
  </si>
  <si>
    <t>2655 E. OAKLAND PARK BLVD SUITE 5</t>
  </si>
  <si>
    <t>FT. LAUDERDALE</t>
  </si>
  <si>
    <t>BROWARD</t>
  </si>
  <si>
    <t>710 OAKFIELD DR. SUITE 116</t>
  </si>
  <si>
    <t>BRANDON</t>
  </si>
  <si>
    <t>813-669-0474</t>
  </si>
  <si>
    <t>813-803-3389</t>
  </si>
  <si>
    <t>CARMEN PAVONE</t>
  </si>
  <si>
    <t>MENORAH MANOR, INC. IRV WEISSMAN DAY CENTER</t>
  </si>
  <si>
    <t xml:space="preserve">255 59TH STREET NORTH </t>
  </si>
  <si>
    <t>727-302-3900</t>
  </si>
  <si>
    <t>727-345-3957</t>
  </si>
  <si>
    <t>DONNA PERRYMAN</t>
  </si>
  <si>
    <t>NICOLE SPENCER</t>
  </si>
  <si>
    <t>NEIGHBORLY CARE NETWORK</t>
  </si>
  <si>
    <t>5225 TECH DATA DR. SUITE 102</t>
  </si>
  <si>
    <t>727-573-9444</t>
  </si>
  <si>
    <t>727-572-8214</t>
  </si>
  <si>
    <t>DAVID LOMAKA</t>
  </si>
  <si>
    <t>ANITA FRANKHAUSER</t>
  </si>
  <si>
    <t>NORTON NURSE REGISTRY CORP</t>
  </si>
  <si>
    <t>3137 49TH ST. N</t>
  </si>
  <si>
    <t>727-273-2021</t>
  </si>
  <si>
    <t>727-273-2318</t>
  </si>
  <si>
    <t>YAQUELIN NOVOA</t>
  </si>
  <si>
    <t>OPAL ROSE HOME CARE AND COMPANION SERVICES LLC</t>
  </si>
  <si>
    <t>3530 1ST AVE. NORTH SUITE 111</t>
  </si>
  <si>
    <t>727-350-5710</t>
  </si>
  <si>
    <t>727-350-5708</t>
  </si>
  <si>
    <t>LASHONNA SAMUELS</t>
  </si>
  <si>
    <t>PASCO COUNTY BOARD OF COUNTY COMMISSINOERS- GO PASCO COUNTY PUBLIC TRANSPORTATION</t>
  </si>
  <si>
    <t xml:space="preserve">38053 LIVE OAK AVE. </t>
  </si>
  <si>
    <t>38053 LIVE OAK AVE.</t>
  </si>
  <si>
    <t>727-834-3322</t>
  </si>
  <si>
    <t>727-859-0589</t>
  </si>
  <si>
    <t>KATHRYN STARKEY</t>
  </si>
  <si>
    <t xml:space="preserve">JANINA ELKIN </t>
  </si>
  <si>
    <t xml:space="preserve">PASCO COUNTY BOARD OF COUNTY COMMISSIONERS-PASCO COUNTY SENIOR SERVICES </t>
  </si>
  <si>
    <t xml:space="preserve">8600 GALEN WILSON BLVD  </t>
  </si>
  <si>
    <t>727-834-3340</t>
  </si>
  <si>
    <t>727-834-3326</t>
  </si>
  <si>
    <t>THOMAS SNEE</t>
  </si>
  <si>
    <t xml:space="preserve">PASCO SENIOR HOME CARE LLC DBA HOME INSTEAD SENIOR CARE </t>
  </si>
  <si>
    <t>6719 GALL BLVD, SUITE 104</t>
  </si>
  <si>
    <t>ZEPHYRHILLS</t>
  </si>
  <si>
    <t>813-991-7524</t>
  </si>
  <si>
    <t>813-395-8429</t>
  </si>
  <si>
    <t>DAVE HEINZE</t>
  </si>
  <si>
    <t>CHRIS CARLSON</t>
  </si>
  <si>
    <t>PERSONAL RESPONSE CORPORATION</t>
  </si>
  <si>
    <t>PO BOX 749575</t>
  </si>
  <si>
    <t>2711 SW 137TH AVE. SUITE 77</t>
  </si>
  <si>
    <t>MIAMI</t>
  </si>
  <si>
    <t>MIAMI-DADE</t>
  </si>
  <si>
    <t>800-288-5965</t>
  </si>
  <si>
    <t>305-271-0587</t>
  </si>
  <si>
    <t>DAWN FITZGERALD</t>
  </si>
  <si>
    <t>TAWNYA SCOTT</t>
  </si>
  <si>
    <t>PETERSON COUNSELING AND CONSULTING, INC</t>
  </si>
  <si>
    <t>8522 CREEDMOOR LN</t>
  </si>
  <si>
    <t>727-753-8082</t>
  </si>
  <si>
    <t>RITA PETERSON</t>
  </si>
  <si>
    <t>PHOENIX PRO MANAGEMENT, INC</t>
  </si>
  <si>
    <t>700 S. ROSEMARY AVE. SUITE 204-2052</t>
  </si>
  <si>
    <t xml:space="preserve">WEST PALM BEACH </t>
  </si>
  <si>
    <t>PALM BEACH</t>
  </si>
  <si>
    <t>352-224-9484</t>
  </si>
  <si>
    <t>361-210-1136</t>
  </si>
  <si>
    <t>ALEX MODRIC</t>
  </si>
  <si>
    <t xml:space="preserve">JESSIE NORLEY </t>
  </si>
  <si>
    <t>PINELLAS OPPORTUNITY COUNCIL, INC</t>
  </si>
  <si>
    <t xml:space="preserve">4039 8TH AVENUE SOUTH  </t>
  </si>
  <si>
    <t>727-327-3091</t>
  </si>
  <si>
    <t>727-327-2340</t>
  </si>
  <si>
    <t>PATTYE SAWYER</t>
  </si>
  <si>
    <t>KATHY RUSSELL</t>
  </si>
  <si>
    <t>PURFOODS LLC DBA MOM'S MEALS</t>
  </si>
  <si>
    <t>3210 SE CORPORATE WOODS DRIVE</t>
  </si>
  <si>
    <t>ANKENY</t>
  </si>
  <si>
    <t>IOWA</t>
  </si>
  <si>
    <t>866-716-3257</t>
  </si>
  <si>
    <t>NATHAN JENSEN</t>
  </si>
  <si>
    <t>515-266-6120</t>
  </si>
  <si>
    <t>RAMPDR, LLC</t>
  </si>
  <si>
    <t>12950 58TH ST, UNIT 19</t>
  </si>
  <si>
    <t>757-336-9984</t>
  </si>
  <si>
    <t>727-626-0627</t>
  </si>
  <si>
    <t>RYAN ISCH</t>
  </si>
  <si>
    <t>RELIANCE HOME CARE LLC DBA FIRSTLIGHT HOME CARE NORTH TAMPA &amp; PASCO COUNTY</t>
  </si>
  <si>
    <t>20701 BRUCE B DOWNS BLVD</t>
  </si>
  <si>
    <t>813-549-7808</t>
  </si>
  <si>
    <t>813-549-7813</t>
  </si>
  <si>
    <t>MARK HAMID</t>
  </si>
  <si>
    <t>VAL RODRIGUEZ</t>
  </si>
  <si>
    <t>RK HEALTHCARE INC DBA HOME INSTEAD SENIOR CARE</t>
  </si>
  <si>
    <t>ROOSTER BRANDS, INC DBA SENIOR HELPERS OF ST. PETERSBURG</t>
  </si>
  <si>
    <t>5635 49TH ST N</t>
  </si>
  <si>
    <t>4144 CENTRAL AVE</t>
  </si>
  <si>
    <t>727-284-7700</t>
  </si>
  <si>
    <t>877-661-9818</t>
  </si>
  <si>
    <t>SCOTT KOGUT</t>
  </si>
  <si>
    <t>KIEANA BAKER</t>
  </si>
  <si>
    <t>S LION CREATIONS LLC DBA DAYCATIONS ADULT DAY CARE</t>
  </si>
  <si>
    <t>2250 STATE RD 580, SUITE 10</t>
  </si>
  <si>
    <t>727-648-2401</t>
  </si>
  <si>
    <t>727-648-2404</t>
  </si>
  <si>
    <t>SARAH LION</t>
  </si>
  <si>
    <t>MICHAEL LION</t>
  </si>
  <si>
    <t>SACRED HEART CARE INC. DBA ASSISTING HANDS HOME CARE OF PASCO</t>
  </si>
  <si>
    <t>5328 TROUBLE CREEK RD</t>
  </si>
  <si>
    <t>727-999-6107</t>
  </si>
  <si>
    <t>813-867-7079</t>
  </si>
  <si>
    <t>VIVAKE ABRAHAM</t>
  </si>
  <si>
    <t>ABHILASG MATHAI</t>
  </si>
  <si>
    <t>SEA BREEZE ADULT DAY CENTER</t>
  </si>
  <si>
    <t>618 94TH AVENUE NORTH</t>
  </si>
  <si>
    <t>727-623-9092</t>
  </si>
  <si>
    <t>727-231-2221</t>
  </si>
  <si>
    <t>NATALIE LEMKE</t>
  </si>
  <si>
    <t>SENIOR CARE OF CLEARWATER, LLC dba SENIORS HELPING SENIORS</t>
  </si>
  <si>
    <t>18933 CHAVILL ROAD</t>
  </si>
  <si>
    <t>727-401-4700</t>
  </si>
  <si>
    <t>727-498-2046</t>
  </si>
  <si>
    <t>ALLYSON CHIMENTO</t>
  </si>
  <si>
    <t>SENIOR HOMECARE OPTIONS</t>
  </si>
  <si>
    <t>12433 KNOLLBROOK LANE</t>
  </si>
  <si>
    <t xml:space="preserve">12433 KNOLLBROOK </t>
  </si>
  <si>
    <t>727-271-4774</t>
  </si>
  <si>
    <t>727-378-3883</t>
  </si>
  <si>
    <t>CAROL PIERCE</t>
  </si>
  <si>
    <t>SUMMIT HOME RESPIRATORY SERVICES, INC. DBA SUMMIT HOME HEALTHCARE PRODUCTS</t>
  </si>
  <si>
    <t>1085 BUSINESS LANE #2</t>
  </si>
  <si>
    <t>NAPLES</t>
  </si>
  <si>
    <t>LEE</t>
  </si>
  <si>
    <t>888-395-6940</t>
  </si>
  <si>
    <t>800-853-2858</t>
  </si>
  <si>
    <t>JAMES DODD</t>
  </si>
  <si>
    <t>TLC ADULT DAY CARE AND RECREATION CENTER, INC</t>
  </si>
  <si>
    <t>3970 TAMPA RD, STE J</t>
  </si>
  <si>
    <t>OLDSMAR</t>
  </si>
  <si>
    <t>813-510-4000</t>
  </si>
  <si>
    <t>813-200-2012</t>
  </si>
  <si>
    <t>THOMAS WINGO</t>
  </si>
  <si>
    <t>TRUSTED HOME CARE NURSE REGISTRY PIE, LLC</t>
  </si>
  <si>
    <t>1200 S ROGERS CIR STE 4</t>
  </si>
  <si>
    <t>BOCA RATON</t>
  </si>
  <si>
    <t>2454 N MCMULLEN BOOTH ROAD SUITE 700</t>
  </si>
  <si>
    <t>727-771-5053</t>
  </si>
  <si>
    <t>561-531-5137</t>
  </si>
  <si>
    <t>CHRISTINE JOHNSON</t>
  </si>
  <si>
    <t xml:space="preserve">CHRISTINE JOHNSON </t>
  </si>
  <si>
    <t>VEBEACH ENTERPRISE LLC DBA SENIORS HELPING SENIORS</t>
  </si>
  <si>
    <t>32225 SUMMERGLADE DRIVE</t>
  </si>
  <si>
    <t>WESLEY CHAPEL</t>
  </si>
  <si>
    <t>352-610-9934</t>
  </si>
  <si>
    <t>813-575-1862</t>
  </si>
  <si>
    <t>VINCENT E. BEACH</t>
  </si>
  <si>
    <t>WRIGHTWAY CONSULTING</t>
  </si>
  <si>
    <t xml:space="preserve">2909 47TH AVE N  </t>
  </si>
  <si>
    <t>727-577-7544</t>
  </si>
  <si>
    <t>727-520-8130</t>
  </si>
  <si>
    <t>MARK ANDREWS</t>
  </si>
  <si>
    <t xml:space="preserve">YMCA OF SUNCOAST, INC. </t>
  </si>
  <si>
    <t>2469 ENTERPRISE ROAD</t>
  </si>
  <si>
    <t>727-467-9622</t>
  </si>
  <si>
    <t xml:space="preserve">SCOTT GOYER </t>
  </si>
  <si>
    <t>C.V - COMPETITIVE SOLICITATION WITH DOEA FUNDS</t>
  </si>
  <si>
    <t xml:space="preserve">This worksheet contains information about competitive solicitation of commodities or contractual services by the AAAs using DOEA funds. In compliance with 430.09, F.S., "the procurement of commodities or contractual services in excess of $35,000 by an area agency on aging is subject to the competitive soliciation process." Any agreements or contracts in place prior to July 1, 2026 will be grandfathered in and competitive solicitation is not required. Any agreement or contractual service meeting the defintion of commodity or contractual service, must follow the competitive solicitation requirements. </t>
  </si>
  <si>
    <t xml:space="preserve">Instructions for completing the form: Update each row with information about competitive solicitations. If multiple providers were selected from the competitive solicitation, list each within that row. To separate providers on a different line within the cell, hit Alt and Enter to begin a new line. If the subcontract or agreement is for direct services to seniors or caregivers, they must be added to the C.IV. If the subcontract or agreement is for Administrative purposes and will not provide direct services to seniors or caregivers, they do not need to be added to the C.IV. 
The C.V will need to be updated by the AAA anytime a competitive solicitation with DOEA funds is finalized. Send the updated C.V to your DOEA OAA contract manager upon completion of the competitive solicitation. If the funding source has a different DOEA contract manager or funds will be allocated across multiple DOEA programs, also send the updated C.V and any documentation to support the competitive solicitation to those DOEA contract managers.
Each row should be reviewed for accuracy before the report is submitted.  
</t>
  </si>
  <si>
    <t>DOEA Funding Source</t>
  </si>
  <si>
    <t>What Commodity or Contractual Service Was Procured?</t>
  </si>
  <si>
    <t>Is this a Commodity or Contractual Service?</t>
  </si>
  <si>
    <t>When Was the Procurement Issued?</t>
  </si>
  <si>
    <t>Provide a Link to the Procurement or Documentation to Support the Posting of the Competitive Solicitation</t>
  </si>
  <si>
    <t>When Was the Competitive Solicitation Finalized?</t>
  </si>
  <si>
    <t>What Provider(s) Were Selected?</t>
  </si>
  <si>
    <t>When Does the Contract or Agreement Begin and End?</t>
  </si>
  <si>
    <t>Has This Provider(s) Been Listed in the C.IV?</t>
  </si>
  <si>
    <t>Has a Copy of the Subcontract or Agreement Been Provided to the DOEA Contract Manager, if Required?</t>
  </si>
  <si>
    <t>OAA III-B</t>
  </si>
  <si>
    <t>III-B In-Home and Community Services</t>
  </si>
  <si>
    <t>Contractual Service</t>
  </si>
  <si>
    <t>We will email the DOEA OAA contract manager a copy of the solicitation, including documentation of the posting to the AAA website and local newspapers.</t>
  </si>
  <si>
    <t>County A: ABC In-Home Care, County A Legal Aid and County A Senior Services
County B: Sally's At Home Care, County B Legal Aid, County B Adult Day Care and Respite Services</t>
  </si>
  <si>
    <t>1/1/2027 - 12/31/2033</t>
  </si>
  <si>
    <t>Yes</t>
  </si>
  <si>
    <t>OAA Admin</t>
  </si>
  <si>
    <t>Consultant to Complete Community Needs Assessment</t>
  </si>
  <si>
    <t>Lead the Way Consulting Firm</t>
  </si>
  <si>
    <t>1/1/2027 - 6/30/2027</t>
  </si>
  <si>
    <t>No, they will not be providing direct services to seniors</t>
  </si>
  <si>
    <t>ADI, ADRC, CCE, HCE, OAA III ADMIN, OAA VII, SHINE, SMP, MIPPA</t>
  </si>
  <si>
    <t>Accounting System</t>
  </si>
  <si>
    <t>Commodity</t>
  </si>
  <si>
    <t>We will email the DOEA contract managers a copy of the solicitation, including documentation of the posting to the AAA website and local newspapers.</t>
  </si>
  <si>
    <t>Best Accounting System</t>
  </si>
  <si>
    <t>Contract Module Attachments</t>
  </si>
  <si>
    <t>This worksheet lists the names of all Contract Module attachments.</t>
  </si>
  <si>
    <t>Instructions: We recommend entering all Contract Module information in this workbook.  If information not requested in the pre-formatted worksheets needs to be entered, you may insert additional worksheets into which you insert your information.  If information you want added cannot be easily entered into this workbook, enter the name and file type below of each attachment you will be including as part of the Contract Module.</t>
  </si>
  <si>
    <t>Attachment Name</t>
  </si>
  <si>
    <t>Attachment
File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</si>
</sst>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m/d/yy;@"/>
    <numFmt numFmtId="167" formatCode="_([$$-409]* #,##0.00_);_([$$-409]* \(#,##0.00\);_([$$-409]* &quot;-&quot;??_);_(@_)"/>
    <numFmt numFmtId="168" formatCode="0.0%"/>
    <numFmt numFmtId="169" formatCode="&quot;$&quot;#,##0.0"/>
    <numFmt numFmtId="170" formatCode="[$-10409]&quot;$&quot;#,##0.00;\(&quot;$&quot;#,##0.00\)"/>
    <numFmt numFmtId="171" formatCode="_(* #,##0_);_(* \(#,##0\);_(* &quot;-&quot;??_);_(@_)"/>
  </numFmts>
  <fonts count="103">
    <font>
      <sz val="10"/>
      <name val="Arial"/>
    </font>
    <font>
      <b/>
      <sz val="10"/>
      <name val="Arial"/>
      <family val="2"/>
    </font>
    <font>
      <b/>
      <sz val="9"/>
      <name val="Arial"/>
      <family val="2"/>
    </font>
    <font>
      <sz val="12"/>
      <name val="Arial"/>
      <family val="2"/>
    </font>
    <font>
      <b/>
      <sz val="12"/>
      <name val="Arial"/>
      <family val="2"/>
    </font>
    <font>
      <sz val="10"/>
      <name val="Arial"/>
      <family val="2"/>
    </font>
    <font>
      <sz val="11"/>
      <name val="Arial"/>
      <family val="2"/>
    </font>
    <font>
      <b/>
      <sz val="11"/>
      <name val="Arial"/>
      <family val="2"/>
    </font>
    <font>
      <sz val="10"/>
      <name val="Times New Roman"/>
      <family val="1"/>
    </font>
    <font>
      <sz val="12"/>
      <name val="Times New Roman"/>
      <family val="1"/>
    </font>
    <font>
      <b/>
      <sz val="14"/>
      <name val="Times New Roman"/>
      <family val="1"/>
    </font>
    <font>
      <b/>
      <sz val="12"/>
      <name val="Times New Roman"/>
      <family val="1"/>
    </font>
    <font>
      <sz val="12"/>
      <name val="Arial"/>
      <family val="2"/>
    </font>
    <font>
      <sz val="14"/>
      <name val="Times New Roman"/>
      <family val="1"/>
    </font>
    <font>
      <b/>
      <sz val="10"/>
      <name val="Times New Roman"/>
      <family val="1"/>
    </font>
    <font>
      <i/>
      <sz val="10"/>
      <name val="Times New Roman"/>
      <family val="1"/>
    </font>
    <font>
      <i/>
      <sz val="12"/>
      <name val="Times New Roman"/>
      <family val="1"/>
    </font>
    <font>
      <i/>
      <sz val="10"/>
      <name val="Arial"/>
      <family val="2"/>
    </font>
    <font>
      <sz val="12"/>
      <color indexed="12"/>
      <name val="Times New Roman"/>
      <family val="1"/>
    </font>
    <font>
      <sz val="12"/>
      <name val="Times New Roman Greek"/>
      <family val="1"/>
      <charset val="161"/>
    </font>
    <font>
      <i/>
      <sz val="12"/>
      <name val="Arial"/>
      <family val="2"/>
    </font>
    <font>
      <b/>
      <sz val="20"/>
      <name val="Times New Roman"/>
      <family val="1"/>
    </font>
    <font>
      <sz val="20"/>
      <name val="Times New Roman"/>
      <family val="1"/>
    </font>
    <font>
      <b/>
      <sz val="8"/>
      <name val="Times New Roman"/>
      <family val="1"/>
    </font>
    <font>
      <b/>
      <sz val="11"/>
      <name val="Times New Roman"/>
      <family val="1"/>
    </font>
    <font>
      <b/>
      <i/>
      <sz val="12"/>
      <name val="Times New Roman"/>
      <family val="1"/>
    </font>
    <font>
      <i/>
      <sz val="14"/>
      <name val="Times New Roman"/>
      <family val="1"/>
    </font>
    <font>
      <sz val="10"/>
      <name val="Arial"/>
      <family val="2"/>
    </font>
    <font>
      <b/>
      <sz val="14"/>
      <name val="Calibri"/>
      <family val="2"/>
    </font>
    <font>
      <sz val="26"/>
      <name val="Arial"/>
      <family val="2"/>
    </font>
    <font>
      <b/>
      <sz val="26"/>
      <color indexed="10"/>
      <name val="Arial"/>
      <family val="2"/>
    </font>
    <font>
      <b/>
      <sz val="26"/>
      <color indexed="62"/>
      <name val="Arial"/>
      <family val="2"/>
    </font>
    <font>
      <i/>
      <sz val="10"/>
      <color indexed="62"/>
      <name val="Arial"/>
      <family val="2"/>
    </font>
    <font>
      <b/>
      <sz val="9"/>
      <name val="Calibri"/>
      <family val="2"/>
    </font>
    <font>
      <sz val="12"/>
      <color indexed="10"/>
      <name val="Times New Roman"/>
      <family val="1"/>
    </font>
    <font>
      <b/>
      <sz val="11"/>
      <name val="Calibri"/>
      <family val="2"/>
    </font>
    <font>
      <b/>
      <sz val="12"/>
      <name val="Calibri"/>
      <family val="2"/>
    </font>
    <font>
      <b/>
      <sz val="8"/>
      <name val="Arial"/>
      <family val="2"/>
    </font>
    <font>
      <b/>
      <sz val="11"/>
      <color theme="1"/>
      <name val="Calibri"/>
      <family val="2"/>
      <scheme val="minor"/>
    </font>
    <font>
      <sz val="12"/>
      <color rgb="FF333399"/>
      <name val="Times New Roman Greek"/>
      <family val="1"/>
      <charset val="161"/>
    </font>
    <font>
      <b/>
      <sz val="26"/>
      <color rgb="FF333399"/>
      <name val="Arial"/>
      <family val="2"/>
    </font>
    <font>
      <sz val="26"/>
      <color rgb="FF333399"/>
      <name val="Arial"/>
      <family val="2"/>
    </font>
    <font>
      <sz val="14"/>
      <color rgb="FF365F91"/>
      <name val="Arial"/>
      <family val="2"/>
    </font>
    <font>
      <b/>
      <sz val="20"/>
      <color rgb="FF333399"/>
      <name val="Arial"/>
      <family val="2"/>
    </font>
    <font>
      <b/>
      <sz val="11"/>
      <color rgb="FF000000"/>
      <name val="Calibri"/>
      <family val="2"/>
      <scheme val="minor"/>
    </font>
    <font>
      <b/>
      <sz val="10"/>
      <color rgb="FF000000"/>
      <name val="Calibri"/>
      <family val="2"/>
      <scheme val="minor"/>
    </font>
    <font>
      <b/>
      <sz val="11"/>
      <name val="Calibri"/>
      <family val="2"/>
      <scheme val="minor"/>
    </font>
    <font>
      <b/>
      <sz val="10"/>
      <name val="Calibri"/>
      <family val="2"/>
      <scheme val="minor"/>
    </font>
    <font>
      <b/>
      <sz val="10"/>
      <color theme="1"/>
      <name val="Calibri"/>
      <family val="2"/>
      <scheme val="minor"/>
    </font>
    <font>
      <sz val="26"/>
      <color rgb="FF001848"/>
      <name val="Arial"/>
      <family val="2"/>
    </font>
    <font>
      <sz val="9"/>
      <color theme="1"/>
      <name val="Calibri"/>
      <family val="2"/>
      <scheme val="minor"/>
    </font>
    <font>
      <b/>
      <sz val="12"/>
      <name val="Calibri"/>
      <family val="2"/>
      <scheme val="minor"/>
    </font>
    <font>
      <b/>
      <sz val="9"/>
      <name val="Times New Roman"/>
      <family val="1"/>
    </font>
    <font>
      <sz val="12"/>
      <color theme="0" tint="-0.34998626667073579"/>
      <name val="Times New Roman Greek"/>
      <family val="1"/>
      <charset val="161"/>
    </font>
    <font>
      <sz val="10"/>
      <name val="Arial"/>
      <family val="2"/>
    </font>
    <font>
      <b/>
      <sz val="14"/>
      <color theme="1"/>
      <name val="Calibri"/>
      <family val="2"/>
      <scheme val="minor"/>
    </font>
    <font>
      <sz val="11"/>
      <color rgb="FF444444"/>
      <name val="Calibri"/>
      <family val="2"/>
      <charset val="1"/>
    </font>
    <font>
      <b/>
      <sz val="16"/>
      <color rgb="FF000000"/>
      <name val="Calibri"/>
      <family val="2"/>
    </font>
    <font>
      <b/>
      <sz val="12"/>
      <color rgb="FF000000"/>
      <name val="Calibri"/>
      <family val="2"/>
    </font>
    <font>
      <b/>
      <sz val="11"/>
      <color rgb="FF000000"/>
      <name val="Calibri"/>
      <family val="2"/>
    </font>
    <font>
      <sz val="11"/>
      <color rgb="FF000000"/>
      <name val="Calibri"/>
      <family val="2"/>
    </font>
    <font>
      <b/>
      <sz val="10"/>
      <color rgb="FF000000"/>
      <name val="Arial"/>
      <family val="2"/>
    </font>
    <font>
      <b/>
      <sz val="8"/>
      <color rgb="FF000000"/>
      <name val="Arial"/>
      <family val="2"/>
    </font>
    <font>
      <b/>
      <sz val="12"/>
      <color rgb="FF000000"/>
      <name val="Arial"/>
      <family val="2"/>
    </font>
    <font>
      <b/>
      <sz val="9"/>
      <color rgb="FF000000"/>
      <name val="Arial"/>
      <family val="2"/>
    </font>
    <font>
      <sz val="10"/>
      <color rgb="FF000000"/>
      <name val="Arial"/>
      <family val="2"/>
    </font>
    <font>
      <sz val="12"/>
      <color rgb="FF000000"/>
      <name val="Calibri"/>
      <family val="2"/>
    </font>
    <font>
      <sz val="12"/>
      <color rgb="FF000000"/>
      <name val="Wingdings 2"/>
      <family val="1"/>
      <charset val="2"/>
    </font>
    <font>
      <sz val="12"/>
      <color rgb="FF000000"/>
      <name val="Arial"/>
      <family val="2"/>
    </font>
    <font>
      <sz val="9"/>
      <color rgb="FF000000"/>
      <name val="Arial"/>
      <family val="2"/>
    </font>
    <font>
      <b/>
      <u/>
      <sz val="10"/>
      <color rgb="FF000000"/>
      <name val="Arial"/>
      <family val="2"/>
    </font>
    <font>
      <u/>
      <sz val="10"/>
      <color rgb="FF000000"/>
      <name val="Arial"/>
      <family val="2"/>
    </font>
    <font>
      <sz val="8"/>
      <color rgb="FF000000"/>
      <name val="Calibri"/>
      <family val="2"/>
    </font>
    <font>
      <sz val="11"/>
      <color rgb="FF000000"/>
      <name val="Arial"/>
      <family val="2"/>
    </font>
    <font>
      <sz val="12"/>
      <color rgb="FF000000"/>
      <name val="Times New Roman"/>
      <family val="1"/>
    </font>
    <font>
      <b/>
      <i/>
      <sz val="12"/>
      <color rgb="FF000000"/>
      <name val="Times New Roman"/>
      <family val="1"/>
    </font>
    <font>
      <sz val="12"/>
      <color rgb="FFFF0000"/>
      <name val="Times New Roman"/>
      <family val="1"/>
    </font>
    <font>
      <b/>
      <sz val="12"/>
      <color rgb="FF000000"/>
      <name val="Times New Roman"/>
      <family val="1"/>
    </font>
    <font>
      <i/>
      <sz val="12"/>
      <color rgb="FF000000"/>
      <name val="Times New Roman"/>
      <family val="1"/>
    </font>
    <font>
      <sz val="8"/>
      <name val="Times New Roman"/>
      <family val="1"/>
    </font>
    <font>
      <b/>
      <sz val="14"/>
      <color rgb="FFFF0000"/>
      <name val="Times New Roman"/>
      <family val="1"/>
    </font>
    <font>
      <sz val="14"/>
      <color rgb="FFFF0000"/>
      <name val="Times New Roman"/>
      <family val="1"/>
    </font>
    <font>
      <i/>
      <sz val="12"/>
      <color rgb="FFFF0000"/>
      <name val="Times New Roman"/>
      <family val="1"/>
    </font>
    <font>
      <b/>
      <sz val="11"/>
      <color rgb="FFFF0000"/>
      <name val="Calibri"/>
      <family val="2"/>
      <scheme val="minor"/>
    </font>
    <font>
      <sz val="11"/>
      <name val="Calibri"/>
      <family val="2"/>
    </font>
    <font>
      <b/>
      <sz val="11"/>
      <color rgb="FFFFFFFF"/>
      <name val="Tahoma"/>
      <family val="2"/>
    </font>
    <font>
      <b/>
      <sz val="10"/>
      <color rgb="FF465678"/>
      <name val="Tahoma"/>
      <family val="2"/>
    </font>
    <font>
      <sz val="10"/>
      <color rgb="FF4C68A2"/>
      <name val="Tahoma"/>
      <family val="2"/>
    </font>
    <font>
      <sz val="10"/>
      <color rgb="FF4D4D4D"/>
      <name val="Tahoma"/>
      <family val="2"/>
    </font>
    <font>
      <b/>
      <sz val="10"/>
      <color rgb="FF4C68A2"/>
      <name val="Tahoma"/>
      <family val="2"/>
    </font>
    <font>
      <b/>
      <sz val="10"/>
      <color rgb="FF4D4D4D"/>
      <name val="Tahoma"/>
      <family val="2"/>
    </font>
    <font>
      <sz val="10"/>
      <color rgb="FF1F497D"/>
      <name val="Arial"/>
      <family val="2"/>
    </font>
    <font>
      <b/>
      <sz val="10"/>
      <color rgb="FF244062"/>
      <name val="Arial"/>
      <family val="2"/>
    </font>
    <font>
      <b/>
      <sz val="10"/>
      <color rgb="FF000000"/>
      <name val="Times New Roman"/>
      <family val="1"/>
    </font>
    <font>
      <sz val="12"/>
      <color rgb="FF333333"/>
      <name val="Arial"/>
      <family val="2"/>
    </font>
    <font>
      <sz val="10"/>
      <color rgb="FF333333"/>
      <name val="Arial"/>
      <family val="2"/>
    </font>
    <font>
      <sz val="9"/>
      <name val="Arial"/>
      <family val="2"/>
    </font>
    <font>
      <b/>
      <sz val="9"/>
      <color rgb="FFFF0000"/>
      <name val="Times New Roman"/>
      <family val="1"/>
    </font>
    <font>
      <sz val="10"/>
      <color rgb="FF000000"/>
      <name val="Times New Roman"/>
      <family val="1"/>
    </font>
    <font>
      <sz val="8"/>
      <name val="Arial"/>
      <family val="2"/>
    </font>
    <font>
      <b/>
      <sz val="9"/>
      <color rgb="FF000000"/>
      <name val="Calibri"/>
      <family val="2"/>
    </font>
    <font>
      <sz val="10"/>
      <color rgb="FF000000"/>
      <name val="Tahoma"/>
      <family val="2"/>
    </font>
    <font>
      <b/>
      <sz val="10"/>
      <color rgb="FF000000"/>
      <name val="Tahoma"/>
      <family val="2"/>
    </font>
  </fonts>
  <fills count="42">
    <fill>
      <patternFill patternType="none"/>
    </fill>
    <fill>
      <patternFill patternType="gray125"/>
    </fill>
    <fill>
      <patternFill patternType="solid">
        <fgColor indexed="8"/>
        <bgColor indexed="64"/>
      </patternFill>
    </fill>
    <fill>
      <patternFill patternType="lightTrellis"/>
    </fill>
    <fill>
      <patternFill patternType="solid">
        <fgColor indexed="41"/>
        <bgColor indexed="64"/>
      </patternFill>
    </fill>
    <fill>
      <patternFill patternType="solid">
        <fgColor indexed="31"/>
        <bgColor indexed="64"/>
      </patternFill>
    </fill>
    <fill>
      <patternFill patternType="solid">
        <fgColor indexed="26"/>
        <bgColor indexed="64"/>
      </patternFill>
    </fill>
    <fill>
      <patternFill patternType="solid">
        <fgColor indexed="27"/>
        <bgColor indexed="64"/>
      </patternFill>
    </fill>
    <fill>
      <patternFill patternType="solid">
        <fgColor indexed="42"/>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F8CBAD"/>
        <bgColor indexed="64"/>
      </patternFill>
    </fill>
    <fill>
      <patternFill patternType="solid">
        <fgColor rgb="FFB4C6E7"/>
        <bgColor indexed="64"/>
      </patternFill>
    </fill>
    <fill>
      <patternFill patternType="solid">
        <fgColor rgb="FFFFD966"/>
        <bgColor indexed="64"/>
      </patternFill>
    </fill>
    <fill>
      <patternFill patternType="darkGray">
        <bgColor indexed="27"/>
      </patternFill>
    </fill>
    <fill>
      <patternFill patternType="darkGray"/>
    </fill>
    <fill>
      <patternFill patternType="darkGray">
        <bgColor indexed="31"/>
      </patternFill>
    </fill>
    <fill>
      <patternFill patternType="solid">
        <fgColor rgb="FFD9D9D9"/>
        <bgColor rgb="FF000000"/>
      </patternFill>
    </fill>
    <fill>
      <patternFill patternType="solid">
        <fgColor rgb="FFFFFFFF"/>
        <bgColor rgb="FF000000"/>
      </patternFill>
    </fill>
    <fill>
      <patternFill patternType="solid">
        <fgColor rgb="FF4C68A2"/>
        <bgColor rgb="FF4C68A2"/>
      </patternFill>
    </fill>
    <fill>
      <patternFill patternType="solid">
        <fgColor rgb="FF9EB6E4"/>
        <bgColor rgb="FF9EB6E4"/>
      </patternFill>
    </fill>
    <fill>
      <patternFill patternType="solid">
        <fgColor rgb="FFE6EEFC"/>
        <bgColor rgb="FFE6EEFC"/>
      </patternFill>
    </fill>
    <fill>
      <patternFill patternType="solid">
        <fgColor rgb="FFC6DAF8"/>
        <bgColor rgb="FFC6DAF8"/>
      </patternFill>
    </fill>
    <fill>
      <patternFill patternType="solid">
        <fgColor rgb="FFFF0000"/>
        <bgColor indexed="64"/>
      </patternFill>
    </fill>
    <fill>
      <patternFill patternType="solid">
        <fgColor rgb="FF000000"/>
        <bgColor rgb="FF000000"/>
      </patternFill>
    </fill>
    <fill>
      <patternFill patternType="solid">
        <fgColor rgb="FF9BBB59"/>
        <bgColor rgb="FF000000"/>
      </patternFill>
    </fill>
    <fill>
      <patternFill patternType="solid">
        <fgColor rgb="FFFDE9D9"/>
        <bgColor rgb="FF000000"/>
      </patternFill>
    </fill>
    <fill>
      <patternFill patternType="solid">
        <fgColor rgb="FFFABF8F"/>
        <bgColor rgb="FF000000"/>
      </patternFill>
    </fill>
    <fill>
      <patternFill patternType="solid">
        <fgColor rgb="FF92D050"/>
        <bgColor rgb="FF000000"/>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FF"/>
        <bgColor rgb="FFFFFFFF"/>
      </patternFill>
    </fill>
    <fill>
      <patternFill patternType="solid">
        <fgColor rgb="FF00206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2DCDB"/>
        <bgColor rgb="FF000000"/>
      </patternFill>
    </fill>
    <fill>
      <patternFill patternType="solid">
        <fgColor rgb="FFDCE6F1"/>
        <bgColor rgb="FF000000"/>
      </patternFill>
    </fill>
    <fill>
      <patternFill patternType="solid">
        <fgColor rgb="FFF2DCDB"/>
        <bgColor indexed="64"/>
      </patternFill>
    </fill>
    <fill>
      <patternFill patternType="solid">
        <fgColor rgb="FFDCE6F1"/>
        <bgColor indexed="64"/>
      </patternFill>
    </fill>
  </fills>
  <borders count="292">
    <border>
      <left/>
      <right/>
      <top/>
      <bottom/>
      <diagonal/>
    </border>
    <border>
      <left style="double">
        <color indexed="64"/>
      </left>
      <right style="thin">
        <color indexed="64"/>
      </right>
      <top style="double">
        <color indexed="64"/>
      </top>
      <bottom style="double">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top/>
      <bottom/>
      <diagonal/>
    </border>
    <border>
      <left/>
      <right style="hair">
        <color indexed="64"/>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style="hair">
        <color indexed="64"/>
      </bottom>
      <diagonal/>
    </border>
    <border>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style="thin">
        <color indexed="64"/>
      </left>
      <right style="double">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double">
        <color indexed="64"/>
      </right>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right/>
      <top style="double">
        <color indexed="64"/>
      </top>
      <bottom style="thin">
        <color indexed="64"/>
      </bottom>
      <diagonal/>
    </border>
    <border>
      <left style="thin">
        <color indexed="64"/>
      </left>
      <right style="hair">
        <color indexed="64"/>
      </right>
      <top style="hair">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style="thin">
        <color indexed="64"/>
      </right>
      <top/>
      <bottom style="double">
        <color indexed="64"/>
      </bottom>
      <diagonal/>
    </border>
    <border>
      <left/>
      <right/>
      <top/>
      <bottom style="double">
        <color indexed="64"/>
      </bottom>
      <diagonal/>
    </border>
    <border>
      <left style="medium">
        <color indexed="64"/>
      </left>
      <right style="medium">
        <color indexed="64"/>
      </right>
      <top style="medium">
        <color indexed="64"/>
      </top>
      <bottom style="thin">
        <color indexed="64"/>
      </bottom>
      <diagonal/>
    </border>
    <border>
      <left style="double">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style="thin">
        <color indexed="64"/>
      </left>
      <right/>
      <top style="thin">
        <color indexed="64"/>
      </top>
      <bottom style="hair">
        <color indexed="64"/>
      </bottom>
      <diagonal/>
    </border>
    <border>
      <left/>
      <right style="medium">
        <color indexed="64"/>
      </right>
      <top style="medium">
        <color indexed="64"/>
      </top>
      <bottom/>
      <diagonal/>
    </border>
    <border>
      <left/>
      <right style="double">
        <color indexed="64"/>
      </right>
      <top/>
      <bottom/>
      <diagonal/>
    </border>
    <border>
      <left/>
      <right style="double">
        <color indexed="64"/>
      </right>
      <top style="thin">
        <color indexed="64"/>
      </top>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style="double">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hair">
        <color indexed="64"/>
      </left>
      <right style="thin">
        <color indexed="64"/>
      </right>
      <top/>
      <bottom style="thin">
        <color rgb="FF000000"/>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double">
        <color rgb="FF000000"/>
      </left>
      <right style="medium">
        <color rgb="FF000000"/>
      </right>
      <top style="medium">
        <color rgb="FF000000"/>
      </top>
      <bottom style="medium">
        <color rgb="FF000000"/>
      </bottom>
      <diagonal/>
    </border>
    <border>
      <left style="double">
        <color rgb="FF000000"/>
      </left>
      <right style="medium">
        <color rgb="FF000000"/>
      </right>
      <top style="medium">
        <color rgb="FF000000"/>
      </top>
      <bottom/>
      <diagonal/>
    </border>
    <border>
      <left style="double">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double">
        <color rgb="FF000000"/>
      </right>
      <top style="medium">
        <color rgb="FF000000"/>
      </top>
      <bottom style="medium">
        <color rgb="FF000000"/>
      </bottom>
      <diagonal/>
    </border>
    <border>
      <left style="medium">
        <color rgb="FF000000"/>
      </left>
      <right style="double">
        <color rgb="FF000000"/>
      </right>
      <top style="medium">
        <color rgb="FF000000"/>
      </top>
      <bottom/>
      <diagonal/>
    </border>
    <border>
      <left style="medium">
        <color rgb="FF000000"/>
      </left>
      <right style="double">
        <color rgb="FF000000"/>
      </right>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double">
        <color rgb="FF000000"/>
      </right>
      <top style="medium">
        <color rgb="FF000000"/>
      </top>
      <bottom style="medium">
        <color rgb="FF000000"/>
      </bottom>
      <diagonal/>
    </border>
    <border>
      <left style="medium">
        <color indexed="64"/>
      </left>
      <right style="medium">
        <color rgb="FF000000"/>
      </right>
      <top/>
      <bottom style="medium">
        <color indexed="64"/>
      </bottom>
      <diagonal/>
    </border>
    <border>
      <left/>
      <right style="medium">
        <color rgb="FF000000"/>
      </right>
      <top style="medium">
        <color rgb="FF000000"/>
      </top>
      <bottom/>
      <diagonal/>
    </border>
    <border>
      <left/>
      <right style="double">
        <color rgb="FF000000"/>
      </right>
      <top style="medium">
        <color rgb="FF000000"/>
      </top>
      <bottom/>
      <diagonal/>
    </border>
    <border>
      <left/>
      <right style="double">
        <color rgb="FF000000"/>
      </right>
      <top/>
      <bottom style="medium">
        <color rgb="FF000000"/>
      </bottom>
      <diagonal/>
    </border>
    <border>
      <left/>
      <right style="medium">
        <color rgb="FF000000"/>
      </right>
      <top style="medium">
        <color rgb="FF000000"/>
      </top>
      <bottom style="thick">
        <color rgb="FF000000"/>
      </bottom>
      <diagonal/>
    </border>
    <border>
      <left style="medium">
        <color rgb="FF000000"/>
      </left>
      <right/>
      <top style="medium">
        <color rgb="FF000000"/>
      </top>
      <bottom style="thick">
        <color rgb="FF000000"/>
      </bottom>
      <diagonal/>
    </border>
    <border>
      <left style="medium">
        <color rgb="FF000000"/>
      </left>
      <right style="medium">
        <color rgb="FF000000"/>
      </right>
      <top style="medium">
        <color rgb="FF000000"/>
      </top>
      <bottom style="thick">
        <color rgb="FF000000"/>
      </bottom>
      <diagonal/>
    </border>
    <border>
      <left style="double">
        <color rgb="FF000000"/>
      </left>
      <right style="medium">
        <color rgb="FF000000"/>
      </right>
      <top style="medium">
        <color rgb="FF000000"/>
      </top>
      <bottom style="thick">
        <color rgb="FF000000"/>
      </bottom>
      <diagonal/>
    </border>
    <border>
      <left style="medium">
        <color rgb="FF000000"/>
      </left>
      <right style="double">
        <color rgb="FF000000"/>
      </right>
      <top style="medium">
        <color rgb="FF000000"/>
      </top>
      <bottom style="thick">
        <color rgb="FF000000"/>
      </bottom>
      <diagonal/>
    </border>
    <border>
      <left style="medium">
        <color indexed="64"/>
      </left>
      <right style="medium">
        <color rgb="FF000000"/>
      </right>
      <top style="thick">
        <color indexed="64"/>
      </top>
      <bottom/>
      <diagonal/>
    </border>
    <border>
      <left style="medium">
        <color rgb="FF000000"/>
      </left>
      <right style="medium">
        <color rgb="FF000000"/>
      </right>
      <top style="thick">
        <color rgb="FF000000"/>
      </top>
      <bottom/>
      <diagonal/>
    </border>
    <border>
      <left style="medium">
        <color rgb="FF000000"/>
      </left>
      <right style="medium">
        <color rgb="FF000000"/>
      </right>
      <top/>
      <bottom style="thick">
        <color rgb="FF000000"/>
      </bottom>
      <diagonal/>
    </border>
    <border>
      <left/>
      <right style="medium">
        <color rgb="FF000000"/>
      </right>
      <top style="thick">
        <color rgb="FF000000"/>
      </top>
      <bottom style="medium">
        <color rgb="FF000000"/>
      </bottom>
      <diagonal/>
    </border>
    <border>
      <left/>
      <right style="medium">
        <color indexed="64"/>
      </right>
      <top/>
      <bottom/>
      <diagonal/>
    </border>
    <border>
      <left style="double">
        <color rgb="FF000000"/>
      </left>
      <right/>
      <top/>
      <bottom/>
      <diagonal/>
    </border>
    <border>
      <left style="medium">
        <color indexed="64"/>
      </left>
      <right style="medium">
        <color indexed="64"/>
      </right>
      <top/>
      <bottom style="thick">
        <color indexed="64"/>
      </bottom>
      <diagonal/>
    </border>
    <border>
      <left/>
      <right style="double">
        <color rgb="FF000000"/>
      </right>
      <top style="medium">
        <color rgb="FF000000"/>
      </top>
      <bottom style="thick">
        <color rgb="FF000000"/>
      </bottom>
      <diagonal/>
    </border>
    <border>
      <left style="medium">
        <color indexed="64"/>
      </left>
      <right style="medium">
        <color rgb="FF000000"/>
      </right>
      <top/>
      <bottom style="thick">
        <color rgb="FF000000"/>
      </bottom>
      <diagonal/>
    </border>
    <border>
      <left style="medium">
        <color rgb="FF000000"/>
      </left>
      <right/>
      <top style="thick">
        <color rgb="FF000000"/>
      </top>
      <bottom style="medium">
        <color rgb="FF000000"/>
      </bottom>
      <diagonal/>
    </border>
    <border>
      <left/>
      <right style="double">
        <color rgb="FF000000"/>
      </right>
      <top style="thick">
        <color rgb="FF000000"/>
      </top>
      <bottom style="medium">
        <color rgb="FF000000"/>
      </bottom>
      <diagonal/>
    </border>
    <border>
      <left/>
      <right/>
      <top style="thick">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thin">
        <color rgb="FF000000"/>
      </right>
      <top style="thick">
        <color rgb="FF000000"/>
      </top>
      <bottom/>
      <diagonal/>
    </border>
    <border>
      <left/>
      <right style="medium">
        <color rgb="FF000000"/>
      </right>
      <top style="thick">
        <color rgb="FF000000"/>
      </top>
      <bottom/>
      <diagonal/>
    </border>
    <border>
      <left style="medium">
        <color rgb="FF000000"/>
      </left>
      <right/>
      <top style="thick">
        <color rgb="FF000000"/>
      </top>
      <bottom/>
      <diagonal/>
    </border>
    <border>
      <left/>
      <right/>
      <top style="thick">
        <color rgb="FF000000"/>
      </top>
      <bottom/>
      <diagonal/>
    </border>
    <border>
      <left/>
      <right style="double">
        <color rgb="FF000000"/>
      </right>
      <top style="thick">
        <color rgb="FF000000"/>
      </top>
      <bottom/>
      <diagonal/>
    </border>
    <border>
      <left style="double">
        <color rgb="FF000000"/>
      </left>
      <right style="medium">
        <color rgb="FF000000"/>
      </right>
      <top/>
      <bottom/>
      <diagonal/>
    </border>
    <border>
      <left style="medium">
        <color rgb="FF000000"/>
      </left>
      <right style="double">
        <color rgb="FF000000"/>
      </right>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7292CC"/>
      </left>
      <right style="thin">
        <color rgb="FF7292CC"/>
      </right>
      <top style="thin">
        <color rgb="FF7292CC"/>
      </top>
      <bottom style="thin">
        <color rgb="FF7292CC"/>
      </bottom>
      <diagonal/>
    </border>
    <border>
      <left/>
      <right/>
      <top style="thin">
        <color rgb="FF7292CC"/>
      </top>
      <bottom style="thin">
        <color rgb="FF7292CC"/>
      </bottom>
      <diagonal/>
    </border>
    <border>
      <left/>
      <right style="thin">
        <color rgb="FF7292CC"/>
      </right>
      <top style="thin">
        <color rgb="FF7292CC"/>
      </top>
      <bottom style="thin">
        <color rgb="FF7292CC"/>
      </bottom>
      <diagonal/>
    </border>
    <border>
      <left style="thin">
        <color rgb="FFC6DAF8"/>
      </left>
      <right style="thin">
        <color rgb="FFC6DAF8"/>
      </right>
      <top style="thin">
        <color rgb="FFC6DAF8"/>
      </top>
      <bottom/>
      <diagonal/>
    </border>
    <border>
      <left style="thin">
        <color rgb="FFC6DAF8"/>
      </left>
      <right style="thin">
        <color rgb="FFC6DAF8"/>
      </right>
      <top/>
      <bottom/>
      <diagonal/>
    </border>
    <border>
      <left style="thin">
        <color rgb="FFC6DAF8"/>
      </left>
      <right style="thin">
        <color rgb="FFC6DAF8"/>
      </right>
      <top/>
      <bottom style="thin">
        <color rgb="FFC6DAF8"/>
      </bottom>
      <diagonal/>
    </border>
    <border>
      <left style="thin">
        <color rgb="FFFFFFFF"/>
      </left>
      <right/>
      <top style="thin">
        <color rgb="FFFFFFFF"/>
      </top>
      <bottom/>
      <diagonal/>
    </border>
    <border>
      <left/>
      <right style="thin">
        <color rgb="FFFFFFFF"/>
      </right>
      <top style="thin">
        <color rgb="FFFFFFFF"/>
      </top>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style="thin">
        <color rgb="FFFFFFFF"/>
      </right>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E5E5E5"/>
      </left>
      <right style="thin">
        <color rgb="FFE5E5E5"/>
      </right>
      <top style="thin">
        <color rgb="FFE5E5E5"/>
      </top>
      <bottom style="thin">
        <color rgb="FFE5E5E5"/>
      </bottom>
      <diagonal/>
    </border>
    <border>
      <left/>
      <right/>
      <top style="thin">
        <color rgb="FFE5E5E5"/>
      </top>
      <bottom style="thin">
        <color rgb="FFE5E5E5"/>
      </bottom>
      <diagonal/>
    </border>
    <border>
      <left/>
      <right style="thin">
        <color rgb="FFE5E5E5"/>
      </right>
      <top style="thin">
        <color rgb="FFE5E5E5"/>
      </top>
      <bottom style="thin">
        <color rgb="FFE5E5E5"/>
      </bottom>
      <diagonal/>
    </border>
    <border>
      <left style="thin">
        <color rgb="FFE5E5E5"/>
      </left>
      <right style="thin">
        <color rgb="FFE5E5E5"/>
      </right>
      <top/>
      <bottom style="thin">
        <color rgb="FFE5E5E5"/>
      </bottom>
      <diagonal/>
    </border>
    <border>
      <left/>
      <right style="thin">
        <color rgb="FFE5E5E5"/>
      </right>
      <top/>
      <bottom style="thin">
        <color rgb="FFE5E5E5"/>
      </bottom>
      <diagonal/>
    </border>
    <border>
      <left style="thin">
        <color rgb="FFFFFFFF"/>
      </left>
      <right/>
      <top style="thin">
        <color rgb="FFFFFFFF"/>
      </top>
      <bottom style="thin">
        <color rgb="FFFFFFFF"/>
      </bottom>
      <diagonal/>
    </border>
    <border>
      <left style="thin">
        <color indexed="64"/>
      </left>
      <right style="double">
        <color indexed="64"/>
      </right>
      <top style="thin">
        <color indexed="64"/>
      </top>
      <bottom style="double">
        <color indexed="64"/>
      </bottom>
      <diagonal/>
    </border>
    <border>
      <left style="thin">
        <color rgb="FF7292CC"/>
      </left>
      <right/>
      <top style="thin">
        <color rgb="FF7292CC"/>
      </top>
      <bottom style="thin">
        <color rgb="FF7292CC"/>
      </bottom>
      <diagonal/>
    </border>
    <border>
      <left style="thin">
        <color rgb="FFE6EEFC"/>
      </left>
      <right/>
      <top style="thin">
        <color rgb="FFE6EEFC"/>
      </top>
      <bottom/>
      <diagonal/>
    </border>
    <border>
      <left/>
      <right/>
      <top style="thin">
        <color rgb="FFE6EEFC"/>
      </top>
      <bottom/>
      <diagonal/>
    </border>
    <border>
      <left/>
      <right style="thin">
        <color rgb="FFE6EEFC"/>
      </right>
      <top style="thin">
        <color rgb="FFE6EEFC"/>
      </top>
      <bottom/>
      <diagonal/>
    </border>
    <border>
      <left style="thin">
        <color rgb="FFE6EEFC"/>
      </left>
      <right/>
      <top/>
      <bottom/>
      <diagonal/>
    </border>
    <border>
      <left/>
      <right style="thin">
        <color rgb="FFE6EEFC"/>
      </right>
      <top/>
      <bottom/>
      <diagonal/>
    </border>
    <border>
      <left style="thin">
        <color rgb="FFE6EEFC"/>
      </left>
      <right/>
      <top/>
      <bottom style="thin">
        <color rgb="FFE6EEFC"/>
      </bottom>
      <diagonal/>
    </border>
    <border>
      <left/>
      <right/>
      <top/>
      <bottom style="thin">
        <color rgb="FFE6EEFC"/>
      </bottom>
      <diagonal/>
    </border>
    <border>
      <left/>
      <right style="thin">
        <color rgb="FFE6EEFC"/>
      </right>
      <top/>
      <bottom style="thin">
        <color rgb="FFE6EEFC"/>
      </bottom>
      <diagonal/>
    </border>
    <border>
      <left/>
      <right/>
      <top style="thin">
        <color rgb="FFFFFFFF"/>
      </top>
      <bottom/>
      <diagonal/>
    </border>
    <border>
      <left/>
      <right/>
      <top/>
      <bottom style="thin">
        <color rgb="FFFFFFFF"/>
      </bottom>
      <diagonal/>
    </border>
    <border>
      <left style="thin">
        <color rgb="FFE6EEFC"/>
      </left>
      <right/>
      <top style="thin">
        <color rgb="FFE6EEFC"/>
      </top>
      <bottom style="thin">
        <color rgb="FFE6EEFC"/>
      </bottom>
      <diagonal/>
    </border>
    <border>
      <left/>
      <right/>
      <top style="thin">
        <color rgb="FFE6EEFC"/>
      </top>
      <bottom style="thin">
        <color rgb="FFE6EEFC"/>
      </bottom>
      <diagonal/>
    </border>
    <border>
      <left/>
      <right style="thin">
        <color rgb="FFE6EEFC"/>
      </right>
      <top style="thin">
        <color rgb="FFE6EEFC"/>
      </top>
      <bottom style="thin">
        <color rgb="FFE6EEFC"/>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style="hair">
        <color indexed="64"/>
      </bottom>
      <diagonal/>
    </border>
    <border>
      <left/>
      <right/>
      <top style="hair">
        <color indexed="64"/>
      </top>
      <bottom style="thin">
        <color indexed="64"/>
      </bottom>
      <diagonal/>
    </border>
    <border>
      <left style="thin">
        <color rgb="FF000000"/>
      </left>
      <right style="thin">
        <color rgb="FF000000"/>
      </right>
      <top/>
      <bottom style="thin">
        <color rgb="FF000000"/>
      </bottom>
      <diagonal/>
    </border>
    <border>
      <left/>
      <right/>
      <top style="medium">
        <color rgb="FF000000"/>
      </top>
      <bottom/>
      <diagonal/>
    </border>
    <border>
      <left style="hair">
        <color indexed="64"/>
      </left>
      <right style="hair">
        <color indexed="64"/>
      </right>
      <top style="medium">
        <color rgb="FF000000"/>
      </top>
      <bottom/>
      <diagonal/>
    </border>
    <border>
      <left style="hair">
        <color indexed="64"/>
      </left>
      <right style="hair">
        <color indexed="64"/>
      </right>
      <top style="medium">
        <color rgb="FF000000"/>
      </top>
      <bottom style="hair">
        <color indexed="64"/>
      </bottom>
      <diagonal/>
    </border>
    <border>
      <left style="hair">
        <color indexed="64"/>
      </left>
      <right style="medium">
        <color indexed="64"/>
      </right>
      <top style="medium">
        <color rgb="FF000000"/>
      </top>
      <bottom/>
      <diagonal/>
    </border>
    <border>
      <left style="medium">
        <color indexed="64"/>
      </left>
      <right/>
      <top style="medium">
        <color rgb="FF000000"/>
      </top>
      <bottom/>
      <diagonal/>
    </border>
    <border>
      <left style="medium">
        <color rgb="FF000000"/>
      </left>
      <right/>
      <top/>
      <bottom/>
      <diagonal/>
    </border>
    <border>
      <left style="medium">
        <color rgb="FF000000"/>
      </left>
      <right/>
      <top/>
      <bottom style="hair">
        <color indexed="64"/>
      </bottom>
      <diagonal/>
    </border>
    <border>
      <left style="medium">
        <color rgb="FF000000"/>
      </left>
      <right/>
      <top style="hair">
        <color indexed="64"/>
      </top>
      <bottom style="hair">
        <color indexed="64"/>
      </bottom>
      <diagonal/>
    </border>
    <border>
      <left style="medium">
        <color rgb="FF000000"/>
      </left>
      <right/>
      <top style="hair">
        <color indexed="64"/>
      </top>
      <bottom style="medium">
        <color rgb="FF000000"/>
      </bottom>
      <diagonal/>
    </border>
    <border>
      <left/>
      <right/>
      <top style="hair">
        <color indexed="64"/>
      </top>
      <bottom style="medium">
        <color rgb="FF000000"/>
      </bottom>
      <diagonal/>
    </border>
    <border>
      <left style="hair">
        <color indexed="64"/>
      </left>
      <right style="hair">
        <color indexed="64"/>
      </right>
      <top style="hair">
        <color indexed="64"/>
      </top>
      <bottom style="medium">
        <color rgb="FF000000"/>
      </bottom>
      <diagonal/>
    </border>
    <border>
      <left style="hair">
        <color indexed="64"/>
      </left>
      <right style="medium">
        <color indexed="64"/>
      </right>
      <top style="hair">
        <color indexed="64"/>
      </top>
      <bottom style="medium">
        <color rgb="FF000000"/>
      </bottom>
      <diagonal/>
    </border>
    <border>
      <left style="medium">
        <color indexed="64"/>
      </left>
      <right/>
      <top style="hair">
        <color indexed="64"/>
      </top>
      <bottom style="medium">
        <color rgb="FF000000"/>
      </bottom>
      <diagonal/>
    </border>
    <border>
      <left/>
      <right style="hair">
        <color indexed="64"/>
      </right>
      <top style="hair">
        <color indexed="64"/>
      </top>
      <bottom style="medium">
        <color rgb="FF000000"/>
      </bottom>
      <diagonal/>
    </border>
    <border>
      <left style="medium">
        <color indexed="64"/>
      </left>
      <right/>
      <top/>
      <bottom style="medium">
        <color rgb="FF000000"/>
      </bottom>
      <diagonal/>
    </border>
    <border>
      <left style="dashed">
        <color rgb="FF000000"/>
      </left>
      <right style="dashed">
        <color rgb="FF000000"/>
      </right>
      <top style="dashed">
        <color rgb="FF000000"/>
      </top>
      <bottom style="dashed">
        <color rgb="FF000000"/>
      </bottom>
      <diagonal/>
    </border>
    <border>
      <left style="hair">
        <color indexed="64"/>
      </left>
      <right style="hair">
        <color indexed="64"/>
      </right>
      <top/>
      <bottom style="medium">
        <color rgb="FF000000"/>
      </bottom>
      <diagonal/>
    </border>
    <border>
      <left style="hair">
        <color indexed="64"/>
      </left>
      <right/>
      <top style="medium">
        <color rgb="FF000000"/>
      </top>
      <bottom/>
      <diagonal/>
    </border>
    <border>
      <left style="medium">
        <color rgb="FF000000"/>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style="medium">
        <color rgb="FF000000"/>
      </top>
      <bottom/>
      <diagonal/>
    </border>
    <border>
      <left style="medium">
        <color rgb="FF000000"/>
      </left>
      <right/>
      <top style="medium">
        <color rgb="FF000000"/>
      </top>
      <bottom style="hair">
        <color indexed="64"/>
      </bottom>
      <diagonal/>
    </border>
    <border>
      <left/>
      <right/>
      <top style="medium">
        <color rgb="FF000000"/>
      </top>
      <bottom style="hair">
        <color indexed="64"/>
      </bottom>
      <diagonal/>
    </border>
    <border>
      <left/>
      <right style="hair">
        <color indexed="64"/>
      </right>
      <top style="medium">
        <color rgb="FF000000"/>
      </top>
      <bottom style="hair">
        <color indexed="64"/>
      </bottom>
      <diagonal/>
    </border>
    <border>
      <left style="hair">
        <color indexed="64"/>
      </left>
      <right style="medium">
        <color rgb="FF000000"/>
      </right>
      <top style="medium">
        <color rgb="FF000000"/>
      </top>
      <bottom style="hair">
        <color indexed="64"/>
      </bottom>
      <diagonal/>
    </border>
    <border>
      <left style="hair">
        <color indexed="64"/>
      </left>
      <right style="medium">
        <color rgb="FF000000"/>
      </right>
      <top style="hair">
        <color indexed="64"/>
      </top>
      <bottom style="hair">
        <color indexed="64"/>
      </bottom>
      <diagonal/>
    </border>
    <border>
      <left/>
      <right style="hair">
        <color indexed="64"/>
      </right>
      <top/>
      <bottom style="medium">
        <color rgb="FF000000"/>
      </bottom>
      <diagonal/>
    </border>
    <border>
      <left style="hair">
        <color indexed="64"/>
      </left>
      <right style="medium">
        <color rgb="FF000000"/>
      </right>
      <top style="hair">
        <color indexed="64"/>
      </top>
      <bottom style="medium">
        <color rgb="FF000000"/>
      </bottom>
      <diagonal/>
    </border>
    <border>
      <left style="thin">
        <color rgb="FFC6DAF8"/>
      </left>
      <right style="thin">
        <color rgb="FFC6DAF8"/>
      </right>
      <top style="thin">
        <color rgb="FFC6DAF8"/>
      </top>
      <bottom style="thin">
        <color rgb="FFC6DAF8"/>
      </bottom>
      <diagonal/>
    </border>
    <border>
      <left style="thin">
        <color rgb="FFFFFFFF"/>
      </left>
      <right style="thin">
        <color rgb="FFFFFFFF"/>
      </right>
      <top style="thin">
        <color rgb="FFFFFFFF"/>
      </top>
      <bottom style="thin">
        <color rgb="FFFFFFFF"/>
      </bottom>
      <diagonal/>
    </border>
    <border>
      <left style="thin">
        <color rgb="FFE6EEFC"/>
      </left>
      <right style="thin">
        <color rgb="FFE6EEFC"/>
      </right>
      <top style="thin">
        <color rgb="FFE6EEFC"/>
      </top>
      <bottom style="thin">
        <color rgb="FFE6EEFC"/>
      </bottom>
      <diagonal/>
    </border>
    <border>
      <left style="medium">
        <color rgb="FF000000"/>
      </left>
      <right style="medium">
        <color rgb="FF000000"/>
      </right>
      <top/>
      <bottom style="thin">
        <color indexed="64"/>
      </bottom>
      <diagonal/>
    </border>
    <border>
      <left style="medium">
        <color rgb="FF000000"/>
      </left>
      <right/>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top style="thin">
        <color indexed="64"/>
      </top>
      <bottom style="thin">
        <color indexed="64"/>
      </bottom>
      <diagonal/>
    </border>
    <border>
      <left style="thin">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rgb="FF000000"/>
      </left>
      <right style="medium">
        <color rgb="FF000000"/>
      </right>
      <top/>
      <bottom style="double">
        <color indexed="64"/>
      </bottom>
      <diagonal/>
    </border>
    <border>
      <left style="medium">
        <color rgb="FF000000"/>
      </left>
      <right style="medium">
        <color rgb="FF000000"/>
      </right>
      <top style="thin">
        <color rgb="FF000000"/>
      </top>
      <bottom style="medium">
        <color rgb="FF000000"/>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rgb="FF000000"/>
      </right>
      <top/>
      <bottom style="thin">
        <color indexed="64"/>
      </bottom>
      <diagonal/>
    </border>
    <border>
      <left/>
      <right style="medium">
        <color rgb="FF000000"/>
      </right>
      <top style="thin">
        <color indexed="64"/>
      </top>
      <bottom style="thin">
        <color indexed="64"/>
      </bottom>
      <diagonal/>
    </border>
    <border>
      <left/>
      <right style="medium">
        <color rgb="FF000000"/>
      </right>
      <top style="thin">
        <color rgb="FF000000"/>
      </top>
      <bottom style="thin">
        <color rgb="FF000000"/>
      </bottom>
      <diagonal/>
    </border>
    <border>
      <left style="thin">
        <color rgb="FFE5E5E5"/>
      </left>
      <right/>
      <top style="thin">
        <color rgb="FFE5E5E5"/>
      </top>
      <bottom style="thin">
        <color rgb="FFE5E5E5"/>
      </bottom>
      <diagonal/>
    </border>
    <border>
      <left/>
      <right style="dashed">
        <color rgb="FF000000"/>
      </right>
      <top style="hair">
        <color indexed="64"/>
      </top>
      <bottom style="hair">
        <color indexed="64"/>
      </bottom>
      <diagonal/>
    </border>
    <border>
      <left style="thin">
        <color indexed="64"/>
      </left>
      <right style="hair">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s>
  <cellStyleXfs count="6">
    <xf numFmtId="0" fontId="0" fillId="0" borderId="0"/>
    <xf numFmtId="44" fontId="27" fillId="0" borderId="0" applyFont="0" applyFill="0" applyBorder="0" applyAlignment="0" applyProtection="0"/>
    <xf numFmtId="0" fontId="5" fillId="0" borderId="0"/>
    <xf numFmtId="9" fontId="27" fillId="0" borderId="0" applyFont="0" applyFill="0" applyBorder="0" applyAlignment="0" applyProtection="0"/>
    <xf numFmtId="43" fontId="54" fillId="0" borderId="0" applyFont="0" applyFill="0" applyBorder="0" applyAlignment="0" applyProtection="0"/>
    <xf numFmtId="0" fontId="5" fillId="0" borderId="0"/>
  </cellStyleXfs>
  <cellXfs count="1228">
    <xf numFmtId="0" fontId="0" fillId="0" borderId="0" xfId="0"/>
    <xf numFmtId="0" fontId="0" fillId="0" borderId="0" xfId="0" applyAlignment="1">
      <alignment horizontal="center"/>
    </xf>
    <xf numFmtId="0" fontId="3" fillId="0" borderId="0" xfId="0" applyFont="1"/>
    <xf numFmtId="0" fontId="1" fillId="0" borderId="1" xfId="0" applyFont="1" applyBorder="1"/>
    <xf numFmtId="0" fontId="3" fillId="0" borderId="0" xfId="0" applyFont="1" applyAlignment="1">
      <alignment horizontal="right"/>
    </xf>
    <xf numFmtId="0" fontId="8" fillId="0" borderId="0" xfId="0" applyFont="1"/>
    <xf numFmtId="0" fontId="9" fillId="0" borderId="0" xfId="0" applyFont="1"/>
    <xf numFmtId="4" fontId="4" fillId="0" borderId="0" xfId="0" applyNumberFormat="1" applyFont="1"/>
    <xf numFmtId="0" fontId="9" fillId="0" borderId="0" xfId="0" applyFont="1" applyAlignment="1">
      <alignment wrapText="1"/>
    </xf>
    <xf numFmtId="0" fontId="8" fillId="0" borderId="0" xfId="0" applyFont="1" applyAlignment="1">
      <alignment wrapText="1"/>
    </xf>
    <xf numFmtId="0" fontId="4" fillId="0" borderId="0" xfId="0" applyFont="1"/>
    <xf numFmtId="0" fontId="0" fillId="2" borderId="0" xfId="0" applyFill="1"/>
    <xf numFmtId="0" fontId="12" fillId="0" borderId="0" xfId="0" applyFont="1"/>
    <xf numFmtId="0" fontId="3" fillId="0" borderId="0" xfId="0" applyFont="1" applyAlignment="1">
      <alignment horizontal="center"/>
    </xf>
    <xf numFmtId="0" fontId="4" fillId="0" borderId="0" xfId="0" applyFont="1" applyAlignment="1">
      <alignment vertical="center"/>
    </xf>
    <xf numFmtId="0" fontId="3" fillId="2" borderId="0" xfId="0" applyFont="1" applyFill="1" applyAlignment="1">
      <alignment horizontal="right"/>
    </xf>
    <xf numFmtId="4" fontId="4" fillId="2" borderId="0" xfId="0" applyNumberFormat="1" applyFont="1" applyFill="1"/>
    <xf numFmtId="0" fontId="3" fillId="2" borderId="0" xfId="0" applyFont="1" applyFill="1"/>
    <xf numFmtId="0" fontId="9" fillId="0" borderId="0" xfId="0" applyFont="1" applyAlignment="1">
      <alignment horizontal="right"/>
    </xf>
    <xf numFmtId="0" fontId="9" fillId="0" borderId="2" xfId="0" applyFont="1" applyBorder="1"/>
    <xf numFmtId="0" fontId="9" fillId="0" borderId="3" xfId="0" applyFont="1" applyBorder="1"/>
    <xf numFmtId="0" fontId="11" fillId="0" borderId="4" xfId="0" applyFont="1" applyBorder="1" applyAlignment="1">
      <alignment wrapText="1"/>
    </xf>
    <xf numFmtId="0" fontId="11" fillId="0" borderId="0" xfId="0" applyFont="1"/>
    <xf numFmtId="0" fontId="9" fillId="0" borderId="12" xfId="0" applyFont="1" applyBorder="1"/>
    <xf numFmtId="0" fontId="9" fillId="0" borderId="13" xfId="0" applyFont="1" applyBorder="1"/>
    <xf numFmtId="0" fontId="9" fillId="0" borderId="7" xfId="0" applyFont="1" applyBorder="1"/>
    <xf numFmtId="0" fontId="9" fillId="0" borderId="14" xfId="0" applyFont="1" applyBorder="1"/>
    <xf numFmtId="0" fontId="11" fillId="3" borderId="8" xfId="0" applyFont="1" applyFill="1" applyBorder="1" applyAlignment="1">
      <alignment wrapText="1"/>
    </xf>
    <xf numFmtId="0" fontId="19" fillId="0" borderId="0" xfId="0" applyFont="1"/>
    <xf numFmtId="0" fontId="9" fillId="0" borderId="0" xfId="0" applyFont="1" applyAlignment="1">
      <alignment horizontal="left"/>
    </xf>
    <xf numFmtId="0" fontId="11" fillId="3" borderId="15" xfId="0" applyFont="1" applyFill="1" applyBorder="1" applyAlignment="1">
      <alignment wrapText="1"/>
    </xf>
    <xf numFmtId="0" fontId="1" fillId="0" borderId="16" xfId="0" applyFont="1" applyBorder="1" applyAlignment="1">
      <alignment wrapText="1"/>
    </xf>
    <xf numFmtId="0" fontId="1" fillId="0" borderId="3" xfId="0" applyFont="1" applyBorder="1" applyAlignment="1">
      <alignment wrapText="1"/>
    </xf>
    <xf numFmtId="0" fontId="11" fillId="3" borderId="17" xfId="0" applyFont="1" applyFill="1" applyBorder="1" applyAlignment="1">
      <alignment wrapText="1"/>
    </xf>
    <xf numFmtId="0" fontId="11" fillId="0" borderId="0" xfId="0" applyFont="1" applyAlignment="1">
      <alignment horizontal="left"/>
    </xf>
    <xf numFmtId="0" fontId="11" fillId="0" borderId="4" xfId="0" applyFont="1" applyBorder="1"/>
    <xf numFmtId="0" fontId="11" fillId="3" borderId="6" xfId="0" applyFont="1" applyFill="1" applyBorder="1" applyAlignment="1">
      <alignment wrapText="1"/>
    </xf>
    <xf numFmtId="0" fontId="9" fillId="0" borderId="18" xfId="0" applyFont="1" applyBorder="1" applyAlignment="1">
      <alignment horizontal="centerContinuous"/>
    </xf>
    <xf numFmtId="0" fontId="12" fillId="0" borderId="0" xfId="0" applyFont="1" applyAlignment="1">
      <alignment horizontal="center"/>
    </xf>
    <xf numFmtId="0" fontId="9" fillId="0" borderId="18" xfId="0" applyFont="1" applyBorder="1"/>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3" borderId="21" xfId="0" applyFont="1" applyFill="1" applyBorder="1" applyAlignment="1">
      <alignment wrapText="1"/>
    </xf>
    <xf numFmtId="0" fontId="11" fillId="3" borderId="18" xfId="0" applyFont="1" applyFill="1" applyBorder="1" applyAlignment="1">
      <alignment wrapText="1"/>
    </xf>
    <xf numFmtId="0" fontId="15" fillId="0" borderId="0" xfId="0" applyFont="1" applyAlignment="1">
      <alignment horizontal="left" vertical="center"/>
    </xf>
    <xf numFmtId="0" fontId="11" fillId="0" borderId="14" xfId="0" applyFont="1" applyBorder="1"/>
    <xf numFmtId="0" fontId="8" fillId="0" borderId="12" xfId="0" applyFont="1" applyBorder="1"/>
    <xf numFmtId="0" fontId="18" fillId="0" borderId="18" xfId="0" quotePrefix="1" applyFont="1" applyBorder="1" applyAlignment="1">
      <alignment horizontal="left" vertical="center"/>
    </xf>
    <xf numFmtId="0" fontId="18" fillId="0" borderId="18" xfId="0" quotePrefix="1" applyFont="1" applyBorder="1"/>
    <xf numFmtId="0" fontId="9" fillId="0" borderId="22" xfId="0" applyFont="1" applyBorder="1"/>
    <xf numFmtId="0" fontId="11" fillId="0" borderId="12" xfId="0" applyFont="1" applyBorder="1"/>
    <xf numFmtId="0" fontId="9" fillId="0" borderId="24" xfId="0" applyFont="1" applyBorder="1"/>
    <xf numFmtId="0" fontId="11" fillId="0" borderId="24" xfId="0" applyFont="1" applyBorder="1"/>
    <xf numFmtId="0" fontId="11" fillId="0" borderId="24" xfId="0" applyFont="1" applyBorder="1" applyAlignment="1">
      <alignment vertical="top"/>
    </xf>
    <xf numFmtId="0" fontId="11" fillId="0" borderId="25" xfId="0" applyFont="1" applyBorder="1"/>
    <xf numFmtId="0" fontId="11" fillId="0" borderId="26" xfId="0" applyFont="1" applyBorder="1"/>
    <xf numFmtId="0" fontId="9" fillId="0" borderId="28" xfId="0" applyFont="1" applyBorder="1" applyAlignment="1">
      <alignment vertical="center"/>
    </xf>
    <xf numFmtId="0" fontId="11" fillId="3" borderId="26" xfId="0" applyFont="1" applyFill="1" applyBorder="1" applyAlignment="1">
      <alignment wrapText="1"/>
    </xf>
    <xf numFmtId="0" fontId="9" fillId="0" borderId="29" xfId="0" applyFont="1" applyBorder="1"/>
    <xf numFmtId="0" fontId="9" fillId="0" borderId="31" xfId="0" applyFont="1" applyBorder="1"/>
    <xf numFmtId="0" fontId="9" fillId="0" borderId="32" xfId="0" applyFont="1" applyBorder="1"/>
    <xf numFmtId="0" fontId="11" fillId="0" borderId="22" xfId="0" applyFont="1" applyBorder="1"/>
    <xf numFmtId="0" fontId="11" fillId="0" borderId="22" xfId="0" applyFont="1" applyBorder="1" applyAlignment="1">
      <alignment vertical="top"/>
    </xf>
    <xf numFmtId="0" fontId="11" fillId="0" borderId="33" xfId="0" applyFont="1" applyBorder="1"/>
    <xf numFmtId="0" fontId="11" fillId="0" borderId="34" xfId="0" applyFont="1" applyBorder="1" applyAlignment="1">
      <alignment vertical="center"/>
    </xf>
    <xf numFmtId="49" fontId="11" fillId="0" borderId="28" xfId="0" applyNumberFormat="1" applyFont="1" applyBorder="1" applyAlignment="1">
      <alignment horizontal="center"/>
    </xf>
    <xf numFmtId="49" fontId="11" fillId="0" borderId="24" xfId="0" applyNumberFormat="1" applyFont="1" applyBorder="1" applyAlignment="1">
      <alignment horizontal="center"/>
    </xf>
    <xf numFmtId="49" fontId="11" fillId="0" borderId="26" xfId="0" applyNumberFormat="1" applyFont="1" applyBorder="1" applyAlignment="1">
      <alignment horizontal="center"/>
    </xf>
    <xf numFmtId="49" fontId="11" fillId="0" borderId="24" xfId="0" applyNumberFormat="1" applyFont="1" applyBorder="1" applyAlignment="1">
      <alignment horizontal="center" wrapText="1"/>
    </xf>
    <xf numFmtId="0" fontId="11" fillId="0" borderId="26" xfId="0" applyFont="1" applyBorder="1" applyAlignment="1">
      <alignment vertical="top"/>
    </xf>
    <xf numFmtId="0" fontId="9" fillId="0" borderId="26" xfId="0" applyFont="1" applyBorder="1"/>
    <xf numFmtId="0" fontId="11" fillId="0" borderId="28" xfId="0" applyFont="1" applyBorder="1"/>
    <xf numFmtId="0" fontId="9" fillId="0" borderId="40" xfId="0" applyFont="1" applyBorder="1"/>
    <xf numFmtId="0" fontId="9" fillId="0" borderId="41" xfId="0" applyFont="1" applyBorder="1"/>
    <xf numFmtId="0" fontId="11" fillId="0" borderId="16" xfId="0" applyFont="1" applyBorder="1" applyAlignment="1">
      <alignment horizontal="center" wrapText="1"/>
    </xf>
    <xf numFmtId="0" fontId="11" fillId="0" borderId="42" xfId="0" applyFont="1" applyBorder="1" applyAlignment="1">
      <alignment horizontal="center" vertical="center" wrapText="1"/>
    </xf>
    <xf numFmtId="0" fontId="11" fillId="3" borderId="36" xfId="0" applyFont="1" applyFill="1" applyBorder="1" applyAlignment="1">
      <alignment wrapText="1"/>
    </xf>
    <xf numFmtId="0" fontId="11" fillId="3" borderId="44" xfId="0" applyFont="1" applyFill="1" applyBorder="1" applyAlignment="1">
      <alignment wrapText="1"/>
    </xf>
    <xf numFmtId="0" fontId="11" fillId="0" borderId="45" xfId="0" applyFont="1" applyBorder="1" applyAlignment="1">
      <alignment wrapText="1"/>
    </xf>
    <xf numFmtId="0" fontId="11" fillId="3" borderId="46" xfId="0" applyFont="1" applyFill="1" applyBorder="1" applyAlignment="1">
      <alignment wrapText="1"/>
    </xf>
    <xf numFmtId="0" fontId="9" fillId="0" borderId="47" xfId="0" applyFont="1" applyBorder="1"/>
    <xf numFmtId="0" fontId="9" fillId="0" borderId="48" xfId="0" applyFont="1" applyBorder="1" applyAlignment="1">
      <alignment vertical="center"/>
    </xf>
    <xf numFmtId="0" fontId="9" fillId="0" borderId="49" xfId="0" applyFont="1" applyBorder="1"/>
    <xf numFmtId="0" fontId="9" fillId="0" borderId="50" xfId="0" applyFont="1" applyBorder="1"/>
    <xf numFmtId="0" fontId="21" fillId="0" borderId="0" xfId="0" applyFont="1"/>
    <xf numFmtId="0" fontId="22" fillId="0" borderId="0" xfId="0" applyFont="1"/>
    <xf numFmtId="0" fontId="13" fillId="0" borderId="0" xfId="0" applyFont="1"/>
    <xf numFmtId="0" fontId="8" fillId="0" borderId="0" xfId="0" applyFont="1" applyAlignment="1">
      <alignment horizontal="centerContinuous" wrapText="1"/>
    </xf>
    <xf numFmtId="0" fontId="9" fillId="0" borderId="0" xfId="0" applyFont="1" applyAlignment="1">
      <alignment horizontal="centerContinuous" wrapText="1"/>
    </xf>
    <xf numFmtId="0" fontId="9" fillId="0" borderId="51" xfId="0" applyFont="1" applyBorder="1"/>
    <xf numFmtId="0" fontId="9" fillId="0" borderId="30" xfId="0" applyFont="1" applyBorder="1"/>
    <xf numFmtId="0" fontId="9" fillId="0" borderId="52" xfId="0" applyFont="1" applyBorder="1"/>
    <xf numFmtId="0" fontId="9" fillId="0" borderId="53" xfId="0" applyFont="1" applyBorder="1"/>
    <xf numFmtId="164" fontId="11" fillId="0" borderId="0" xfId="0" applyNumberFormat="1" applyFont="1"/>
    <xf numFmtId="0" fontId="11" fillId="0" borderId="0" xfId="0" applyFont="1" applyAlignment="1">
      <alignment horizontal="center"/>
    </xf>
    <xf numFmtId="0" fontId="14" fillId="0" borderId="0" xfId="0" applyFont="1"/>
    <xf numFmtId="0" fontId="14" fillId="0" borderId="24" xfId="0" applyFont="1" applyBorder="1" applyAlignment="1">
      <alignment horizontal="center"/>
    </xf>
    <xf numFmtId="0" fontId="23" fillId="0" borderId="24" xfId="0" applyFont="1" applyBorder="1" applyAlignment="1">
      <alignment horizontal="center"/>
    </xf>
    <xf numFmtId="0" fontId="14" fillId="0" borderId="54" xfId="0" applyFont="1" applyBorder="1" applyAlignment="1">
      <alignment horizontal="center" vertical="top"/>
    </xf>
    <xf numFmtId="0" fontId="14" fillId="0" borderId="54" xfId="0" applyFont="1" applyBorder="1" applyAlignment="1">
      <alignment horizontal="center" vertical="top" wrapText="1"/>
    </xf>
    <xf numFmtId="0" fontId="23" fillId="0" borderId="54" xfId="0" applyFont="1" applyBorder="1" applyAlignment="1">
      <alignment horizontal="center" vertical="top" wrapText="1"/>
    </xf>
    <xf numFmtId="0" fontId="8" fillId="0" borderId="55" xfId="0" applyFont="1" applyBorder="1" applyAlignment="1">
      <alignment wrapText="1"/>
    </xf>
    <xf numFmtId="0" fontId="8" fillId="0" borderId="56" xfId="0" applyFont="1" applyBorder="1" applyAlignment="1">
      <alignment wrapText="1"/>
    </xf>
    <xf numFmtId="0" fontId="14" fillId="0" borderId="56" xfId="0" applyFont="1" applyBorder="1" applyAlignment="1">
      <alignment wrapText="1"/>
    </xf>
    <xf numFmtId="0" fontId="8" fillId="0" borderId="57" xfId="0" applyFont="1" applyBorder="1" applyAlignment="1">
      <alignment wrapText="1"/>
    </xf>
    <xf numFmtId="0" fontId="8" fillId="0" borderId="30" xfId="0" applyFont="1" applyBorder="1" applyAlignment="1">
      <alignment wrapText="1"/>
    </xf>
    <xf numFmtId="0" fontId="8" fillId="0" borderId="57" xfId="0" applyFont="1" applyBorder="1"/>
    <xf numFmtId="0" fontId="8" fillId="0" borderId="30" xfId="0" applyFont="1" applyBorder="1"/>
    <xf numFmtId="0" fontId="8" fillId="0" borderId="31" xfId="0" applyFont="1" applyBorder="1"/>
    <xf numFmtId="0" fontId="8" fillId="0" borderId="32" xfId="0" applyFont="1" applyBorder="1"/>
    <xf numFmtId="0" fontId="14" fillId="0" borderId="30" xfId="0" applyFont="1" applyBorder="1"/>
    <xf numFmtId="0" fontId="8" fillId="0" borderId="14" xfId="0" applyFont="1" applyBorder="1" applyAlignment="1">
      <alignment horizontal="center"/>
    </xf>
    <xf numFmtId="0" fontId="8" fillId="0" borderId="0" xfId="0" applyFont="1" applyAlignment="1">
      <alignment vertical="center"/>
    </xf>
    <xf numFmtId="0" fontId="8" fillId="0" borderId="29" xfId="0" applyFont="1" applyBorder="1"/>
    <xf numFmtId="0" fontId="8" fillId="0" borderId="27" xfId="0" applyFont="1" applyBorder="1" applyAlignment="1">
      <alignment vertical="center"/>
    </xf>
    <xf numFmtId="0" fontId="8" fillId="0" borderId="47" xfId="0" applyFont="1" applyBorder="1"/>
    <xf numFmtId="0" fontId="8" fillId="0" borderId="41" xfId="0" applyFont="1" applyBorder="1"/>
    <xf numFmtId="0" fontId="8" fillId="0" borderId="26" xfId="0" applyFont="1" applyBorder="1"/>
    <xf numFmtId="49" fontId="9" fillId="0" borderId="14" xfId="0" applyNumberFormat="1" applyFont="1" applyBorder="1"/>
    <xf numFmtId="0" fontId="14" fillId="0" borderId="0" xfId="0" applyFont="1" applyAlignment="1">
      <alignment wrapText="1"/>
    </xf>
    <xf numFmtId="0" fontId="9" fillId="3" borderId="60" xfId="0" applyFont="1" applyFill="1" applyBorder="1"/>
    <xf numFmtId="0" fontId="10" fillId="0" borderId="0" xfId="0" applyFont="1"/>
    <xf numFmtId="3" fontId="3" fillId="0" borderId="0" xfId="0" applyNumberFormat="1" applyFont="1"/>
    <xf numFmtId="164" fontId="18" fillId="0" borderId="18" xfId="0" quotePrefix="1" applyNumberFormat="1" applyFont="1" applyBorder="1"/>
    <xf numFmtId="7" fontId="0" fillId="5" borderId="8" xfId="0" applyNumberFormat="1" applyFill="1" applyBorder="1"/>
    <xf numFmtId="7" fontId="0" fillId="5" borderId="5" xfId="0" applyNumberFormat="1" applyFill="1" applyBorder="1"/>
    <xf numFmtId="7" fontId="1" fillId="5" borderId="9" xfId="0" applyNumberFormat="1" applyFont="1" applyFill="1" applyBorder="1"/>
    <xf numFmtId="10" fontId="9" fillId="5" borderId="6" xfId="0" applyNumberFormat="1" applyFont="1" applyFill="1" applyBorder="1"/>
    <xf numFmtId="10" fontId="9" fillId="5" borderId="59" xfId="0" applyNumberFormat="1" applyFont="1" applyFill="1" applyBorder="1"/>
    <xf numFmtId="164" fontId="11" fillId="5" borderId="8" xfId="0" applyNumberFormat="1" applyFont="1" applyFill="1" applyBorder="1"/>
    <xf numFmtId="9" fontId="18" fillId="5" borderId="4" xfId="0" applyNumberFormat="1" applyFont="1" applyFill="1" applyBorder="1" applyAlignment="1">
      <alignment horizontal="right"/>
    </xf>
    <xf numFmtId="10" fontId="18" fillId="5" borderId="6" xfId="0" applyNumberFormat="1" applyFont="1" applyFill="1" applyBorder="1"/>
    <xf numFmtId="10" fontId="9" fillId="5" borderId="18" xfId="0" applyNumberFormat="1" applyFont="1" applyFill="1" applyBorder="1" applyAlignment="1">
      <alignment wrapText="1"/>
    </xf>
    <xf numFmtId="164" fontId="11" fillId="5" borderId="39" xfId="0" applyNumberFormat="1" applyFont="1" applyFill="1" applyBorder="1" applyAlignment="1">
      <alignment horizontal="right"/>
    </xf>
    <xf numFmtId="10" fontId="11" fillId="5" borderId="39" xfId="0" applyNumberFormat="1" applyFont="1" applyFill="1" applyBorder="1"/>
    <xf numFmtId="3" fontId="11" fillId="5" borderId="39" xfId="0" applyNumberFormat="1" applyFont="1" applyFill="1" applyBorder="1"/>
    <xf numFmtId="164" fontId="9" fillId="5" borderId="63" xfId="0" applyNumberFormat="1" applyFont="1" applyFill="1" applyBorder="1"/>
    <xf numFmtId="164" fontId="9" fillId="5" borderId="64" xfId="0" applyNumberFormat="1" applyFont="1" applyFill="1" applyBorder="1"/>
    <xf numFmtId="164" fontId="9" fillId="5" borderId="65" xfId="0" applyNumberFormat="1" applyFont="1" applyFill="1" applyBorder="1"/>
    <xf numFmtId="164" fontId="11" fillId="5" borderId="12" xfId="0" applyNumberFormat="1" applyFont="1" applyFill="1" applyBorder="1"/>
    <xf numFmtId="164" fontId="9" fillId="5" borderId="12" xfId="0" applyNumberFormat="1" applyFont="1" applyFill="1" applyBorder="1"/>
    <xf numFmtId="164" fontId="11" fillId="5" borderId="12" xfId="0" applyNumberFormat="1" applyFont="1" applyFill="1" applyBorder="1" applyAlignment="1">
      <alignment vertical="top"/>
    </xf>
    <xf numFmtId="164" fontId="11" fillId="5" borderId="55" xfId="0" applyNumberFormat="1" applyFont="1" applyFill="1" applyBorder="1"/>
    <xf numFmtId="164" fontId="11" fillId="5" borderId="26" xfId="0" applyNumberFormat="1" applyFont="1" applyFill="1" applyBorder="1"/>
    <xf numFmtId="164" fontId="9" fillId="5" borderId="55" xfId="0" applyNumberFormat="1" applyFont="1" applyFill="1" applyBorder="1"/>
    <xf numFmtId="164" fontId="11" fillId="5" borderId="32" xfId="0" applyNumberFormat="1" applyFont="1" applyFill="1" applyBorder="1"/>
    <xf numFmtId="7" fontId="0" fillId="6" borderId="66" xfId="0" applyNumberFormat="1" applyFill="1" applyBorder="1"/>
    <xf numFmtId="7" fontId="0" fillId="6" borderId="67" xfId="0" applyNumberFormat="1" applyFill="1" applyBorder="1"/>
    <xf numFmtId="7" fontId="0" fillId="6" borderId="59" xfId="0" applyNumberFormat="1" applyFill="1" applyBorder="1"/>
    <xf numFmtId="7" fontId="5" fillId="6" borderId="15" xfId="0" applyNumberFormat="1" applyFont="1" applyFill="1" applyBorder="1"/>
    <xf numFmtId="7" fontId="0" fillId="6" borderId="15" xfId="0" applyNumberFormat="1" applyFill="1" applyBorder="1"/>
    <xf numFmtId="7" fontId="0" fillId="6" borderId="5" xfId="0" applyNumberFormat="1" applyFill="1" applyBorder="1"/>
    <xf numFmtId="7" fontId="0" fillId="7" borderId="5" xfId="0" applyNumberFormat="1" applyFill="1" applyBorder="1"/>
    <xf numFmtId="164" fontId="9" fillId="7" borderId="8" xfId="0" applyNumberFormat="1" applyFont="1" applyFill="1" applyBorder="1"/>
    <xf numFmtId="164" fontId="9" fillId="7" borderId="18" xfId="0" applyNumberFormat="1" applyFont="1" applyFill="1" applyBorder="1"/>
    <xf numFmtId="3" fontId="9" fillId="7" borderId="6" xfId="0" applyNumberFormat="1" applyFont="1" applyFill="1" applyBorder="1"/>
    <xf numFmtId="3" fontId="9" fillId="7" borderId="8" xfId="0" applyNumberFormat="1" applyFont="1" applyFill="1" applyBorder="1"/>
    <xf numFmtId="164" fontId="9" fillId="7" borderId="8" xfId="0" applyNumberFormat="1" applyFont="1" applyFill="1" applyBorder="1" applyAlignment="1">
      <alignment wrapText="1"/>
    </xf>
    <xf numFmtId="3" fontId="9" fillId="7" borderId="8" xfId="0" applyNumberFormat="1" applyFont="1" applyFill="1" applyBorder="1" applyAlignment="1">
      <alignment wrapText="1"/>
    </xf>
    <xf numFmtId="164" fontId="9" fillId="7" borderId="12" xfId="0" applyNumberFormat="1" applyFont="1" applyFill="1" applyBorder="1"/>
    <xf numFmtId="49" fontId="9" fillId="0" borderId="22" xfId="0" applyNumberFormat="1" applyFont="1" applyBorder="1" applyAlignment="1">
      <alignment horizontal="right"/>
    </xf>
    <xf numFmtId="165" fontId="8" fillId="10" borderId="12" xfId="0" applyNumberFormat="1" applyFont="1" applyFill="1" applyBorder="1"/>
    <xf numFmtId="7" fontId="0" fillId="6" borderId="68" xfId="0" applyNumberFormat="1" applyFill="1" applyBorder="1"/>
    <xf numFmtId="7" fontId="0" fillId="5" borderId="59" xfId="0" applyNumberFormat="1" applyFill="1" applyBorder="1"/>
    <xf numFmtId="7" fontId="0" fillId="5" borderId="62" xfId="0" applyNumberFormat="1" applyFill="1" applyBorder="1"/>
    <xf numFmtId="7" fontId="1" fillId="5" borderId="10" xfId="0" applyNumberFormat="1" applyFont="1" applyFill="1" applyBorder="1"/>
    <xf numFmtId="0" fontId="14" fillId="0" borderId="27" xfId="0" applyFont="1" applyBorder="1" applyAlignment="1">
      <alignment horizontal="center"/>
    </xf>
    <xf numFmtId="0" fontId="14" fillId="0" borderId="27" xfId="0" applyFont="1" applyBorder="1" applyAlignment="1">
      <alignment horizontal="center" wrapText="1"/>
    </xf>
    <xf numFmtId="0" fontId="23" fillId="0" borderId="27" xfId="0" applyFont="1" applyBorder="1" applyAlignment="1">
      <alignment horizontal="center" wrapText="1"/>
    </xf>
    <xf numFmtId="0" fontId="14" fillId="0" borderId="12" xfId="0" applyFont="1" applyBorder="1" applyAlignment="1">
      <alignment horizontal="center"/>
    </xf>
    <xf numFmtId="0" fontId="23" fillId="0" borderId="12" xfId="0" applyFont="1" applyBorder="1" applyAlignment="1">
      <alignment horizontal="center"/>
    </xf>
    <xf numFmtId="0" fontId="14" fillId="0" borderId="12" xfId="0" applyFont="1" applyBorder="1" applyAlignment="1">
      <alignment horizontal="center" vertical="top"/>
    </xf>
    <xf numFmtId="0" fontId="14" fillId="0" borderId="12" xfId="0" applyFont="1" applyBorder="1" applyAlignment="1">
      <alignment horizontal="center" vertical="top" wrapText="1"/>
    </xf>
    <xf numFmtId="0" fontId="23" fillId="0" borderId="12" xfId="0" applyFont="1" applyBorder="1" applyAlignment="1">
      <alignment horizontal="center" vertical="top" wrapText="1"/>
    </xf>
    <xf numFmtId="0" fontId="14" fillId="0" borderId="22" xfId="0" applyFont="1" applyBorder="1" applyAlignment="1">
      <alignment wrapText="1"/>
    </xf>
    <xf numFmtId="0" fontId="14" fillId="0" borderId="70" xfId="0" applyFont="1" applyBorder="1" applyAlignment="1">
      <alignment wrapText="1"/>
    </xf>
    <xf numFmtId="0" fontId="39" fillId="0" borderId="0" xfId="0" applyFont="1"/>
    <xf numFmtId="0" fontId="5" fillId="0" borderId="0" xfId="0" applyFont="1"/>
    <xf numFmtId="0" fontId="29" fillId="0" borderId="0" xfId="0" applyFont="1"/>
    <xf numFmtId="0" fontId="30" fillId="0" borderId="0" xfId="0" applyFont="1"/>
    <xf numFmtId="0" fontId="29" fillId="0" borderId="0" xfId="0" applyFont="1" applyAlignment="1">
      <alignment horizontal="centerContinuous"/>
    </xf>
    <xf numFmtId="0" fontId="40" fillId="0" borderId="0" xfId="0" applyFont="1" applyAlignment="1">
      <alignment horizontal="centerContinuous"/>
    </xf>
    <xf numFmtId="0" fontId="31" fillId="0" borderId="0" xfId="0" applyFont="1" applyAlignment="1">
      <alignment horizontal="centerContinuous" vertical="center"/>
    </xf>
    <xf numFmtId="0" fontId="29" fillId="0" borderId="0" xfId="0" applyFont="1" applyAlignment="1">
      <alignment horizontal="centerContinuous" vertical="center"/>
    </xf>
    <xf numFmtId="0" fontId="41" fillId="0" borderId="0" xfId="0" applyFont="1" applyAlignment="1">
      <alignment horizontal="centerContinuous"/>
    </xf>
    <xf numFmtId="0" fontId="42" fillId="0" borderId="0" xfId="0" applyFont="1" applyAlignment="1">
      <alignment horizontal="center" vertical="center"/>
    </xf>
    <xf numFmtId="0" fontId="43" fillId="0" borderId="0" xfId="0" applyFont="1" applyAlignment="1">
      <alignment horizontal="center" vertical="center"/>
    </xf>
    <xf numFmtId="0" fontId="32" fillId="0" borderId="0" xfId="0" applyFont="1" applyAlignment="1">
      <alignment horizontal="center" vertical="center"/>
    </xf>
    <xf numFmtId="0" fontId="5" fillId="0" borderId="0" xfId="2"/>
    <xf numFmtId="0" fontId="9" fillId="0" borderId="65" xfId="2" applyFont="1" applyBorder="1" applyAlignment="1">
      <alignment wrapText="1"/>
    </xf>
    <xf numFmtId="0" fontId="9" fillId="0" borderId="60" xfId="2" applyFont="1" applyBorder="1" applyAlignment="1">
      <alignment wrapText="1"/>
    </xf>
    <xf numFmtId="0" fontId="9" fillId="0" borderId="70" xfId="2" applyFont="1" applyBorder="1" applyAlignment="1">
      <alignment wrapText="1"/>
    </xf>
    <xf numFmtId="0" fontId="9" fillId="0" borderId="64" xfId="2" applyFont="1" applyBorder="1" applyAlignment="1">
      <alignment wrapText="1"/>
    </xf>
    <xf numFmtId="0" fontId="9" fillId="0" borderId="12" xfId="2" applyFont="1" applyBorder="1" applyAlignment="1">
      <alignment wrapText="1"/>
    </xf>
    <xf numFmtId="0" fontId="9" fillId="0" borderId="22" xfId="2" applyFont="1" applyBorder="1" applyAlignment="1">
      <alignment wrapText="1"/>
    </xf>
    <xf numFmtId="0" fontId="11" fillId="0" borderId="63" xfId="2" applyFont="1" applyBorder="1" applyAlignment="1">
      <alignment horizontal="center" wrapText="1"/>
    </xf>
    <xf numFmtId="0" fontId="11" fillId="0" borderId="27" xfId="2" applyFont="1" applyBorder="1" applyAlignment="1">
      <alignment horizontal="center" wrapText="1"/>
    </xf>
    <xf numFmtId="0" fontId="11" fillId="0" borderId="23" xfId="2" applyFont="1" applyBorder="1" applyAlignment="1">
      <alignment horizontal="center" wrapText="1"/>
    </xf>
    <xf numFmtId="0" fontId="1" fillId="0" borderId="0" xfId="2" applyFont="1"/>
    <xf numFmtId="0" fontId="1" fillId="0" borderId="0" xfId="2" applyFont="1" applyAlignment="1">
      <alignment horizontal="center" vertical="center"/>
    </xf>
    <xf numFmtId="0" fontId="17" fillId="0" borderId="0" xfId="2" applyFont="1"/>
    <xf numFmtId="0" fontId="16" fillId="0" borderId="0" xfId="2" applyFont="1"/>
    <xf numFmtId="0" fontId="3" fillId="0" borderId="0" xfId="2" applyFont="1"/>
    <xf numFmtId="0" fontId="8" fillId="0" borderId="0" xfId="2" applyFont="1"/>
    <xf numFmtId="0" fontId="8" fillId="0" borderId="65" xfId="2" applyFont="1" applyBorder="1" applyAlignment="1">
      <alignment wrapText="1"/>
    </xf>
    <xf numFmtId="0" fontId="8" fillId="0" borderId="60" xfId="2" applyFont="1" applyBorder="1" applyAlignment="1">
      <alignment wrapText="1"/>
    </xf>
    <xf numFmtId="0" fontId="8" fillId="0" borderId="70" xfId="2" applyFont="1" applyBorder="1" applyAlignment="1">
      <alignment wrapText="1"/>
    </xf>
    <xf numFmtId="0" fontId="8" fillId="0" borderId="64" xfId="2" applyFont="1" applyBorder="1" applyAlignment="1">
      <alignment wrapText="1"/>
    </xf>
    <xf numFmtId="0" fontId="8" fillId="0" borderId="12" xfId="2" applyFont="1" applyBorder="1" applyAlignment="1">
      <alignment wrapText="1"/>
    </xf>
    <xf numFmtId="0" fontId="8" fillId="0" borderId="22" xfId="2" applyFont="1" applyBorder="1" applyAlignment="1">
      <alignment wrapText="1"/>
    </xf>
    <xf numFmtId="0" fontId="11" fillId="0" borderId="23" xfId="2" applyFont="1" applyBorder="1" applyAlignment="1">
      <alignment horizontal="center" vertical="center" wrapText="1"/>
    </xf>
    <xf numFmtId="0" fontId="14" fillId="0" borderId="0" xfId="2" applyFont="1" applyAlignment="1">
      <alignment horizontal="left" vertical="center"/>
    </xf>
    <xf numFmtId="0" fontId="9" fillId="0" borderId="0" xfId="2" applyFont="1"/>
    <xf numFmtId="0" fontId="5" fillId="9" borderId="0" xfId="2" applyFill="1"/>
    <xf numFmtId="0" fontId="38" fillId="0" borderId="0" xfId="2" applyFont="1" applyAlignment="1">
      <alignment horizontal="center" vertical="center"/>
    </xf>
    <xf numFmtId="0" fontId="45" fillId="11" borderId="76" xfId="2" applyFont="1" applyFill="1" applyBorder="1" applyAlignment="1">
      <alignment horizontal="center" vertical="center" textRotation="90" wrapText="1"/>
    </xf>
    <xf numFmtId="0" fontId="38" fillId="11" borderId="76" xfId="2" applyFont="1" applyFill="1" applyBorder="1" applyAlignment="1">
      <alignment horizontal="center" vertical="center" wrapText="1"/>
    </xf>
    <xf numFmtId="0" fontId="38" fillId="11" borderId="76" xfId="2" applyFont="1" applyFill="1" applyBorder="1" applyAlignment="1">
      <alignment horizontal="center" vertical="center"/>
    </xf>
    <xf numFmtId="0" fontId="46" fillId="11" borderId="76" xfId="2" applyFont="1" applyFill="1" applyBorder="1" applyAlignment="1">
      <alignment horizontal="center" vertical="center" wrapText="1"/>
    </xf>
    <xf numFmtId="0" fontId="47" fillId="11" borderId="76" xfId="2" applyFont="1" applyFill="1" applyBorder="1" applyAlignment="1">
      <alignment horizontal="center" vertical="center" wrapText="1"/>
    </xf>
    <xf numFmtId="0" fontId="47" fillId="11" borderId="76" xfId="2" applyFont="1" applyFill="1" applyBorder="1" applyAlignment="1">
      <alignment horizontal="center" vertical="center"/>
    </xf>
    <xf numFmtId="0" fontId="38" fillId="12" borderId="76" xfId="2" applyFont="1" applyFill="1" applyBorder="1" applyAlignment="1">
      <alignment horizontal="center" vertical="center" wrapText="1"/>
    </xf>
    <xf numFmtId="0" fontId="38" fillId="12" borderId="76" xfId="2" applyFont="1" applyFill="1" applyBorder="1" applyAlignment="1">
      <alignment horizontal="center" vertical="center"/>
    </xf>
    <xf numFmtId="0" fontId="38" fillId="0" borderId="76" xfId="2" applyFont="1" applyBorder="1" applyAlignment="1">
      <alignment horizontal="center" vertical="center"/>
    </xf>
    <xf numFmtId="0" fontId="38" fillId="0" borderId="76" xfId="2" applyFont="1" applyBorder="1" applyAlignment="1">
      <alignment horizontal="center" vertical="center" wrapText="1"/>
    </xf>
    <xf numFmtId="0" fontId="5" fillId="11" borderId="77" xfId="2" applyFill="1" applyBorder="1"/>
    <xf numFmtId="0" fontId="5" fillId="11" borderId="78" xfId="2" applyFill="1" applyBorder="1"/>
    <xf numFmtId="0" fontId="34" fillId="11" borderId="78" xfId="2" applyFont="1" applyFill="1" applyBorder="1" applyAlignment="1">
      <alignment horizontal="left"/>
    </xf>
    <xf numFmtId="0" fontId="5" fillId="11" borderId="79" xfId="2" applyFill="1" applyBorder="1" applyAlignment="1">
      <alignment horizontal="center"/>
    </xf>
    <xf numFmtId="0" fontId="5" fillId="11" borderId="78" xfId="2" applyFill="1" applyBorder="1" applyAlignment="1">
      <alignment horizontal="center"/>
    </xf>
    <xf numFmtId="0" fontId="5" fillId="12" borderId="78" xfId="2" applyFill="1" applyBorder="1"/>
    <xf numFmtId="0" fontId="38" fillId="12" borderId="78" xfId="2" applyFont="1" applyFill="1" applyBorder="1" applyAlignment="1">
      <alignment horizontal="center"/>
    </xf>
    <xf numFmtId="0" fontId="38" fillId="12" borderId="77" xfId="2" applyFont="1" applyFill="1" applyBorder="1" applyAlignment="1">
      <alignment horizontal="center"/>
    </xf>
    <xf numFmtId="0" fontId="5" fillId="0" borderId="78" xfId="2" applyBorder="1"/>
    <xf numFmtId="0" fontId="48" fillId="11" borderId="80" xfId="2" applyFont="1" applyFill="1" applyBorder="1" applyAlignment="1">
      <alignment vertical="center" wrapText="1"/>
    </xf>
    <xf numFmtId="0" fontId="5" fillId="11" borderId="80" xfId="2" applyFill="1" applyBorder="1"/>
    <xf numFmtId="0" fontId="5" fillId="12" borderId="80" xfId="2" applyFill="1" applyBorder="1"/>
    <xf numFmtId="0" fontId="5" fillId="0" borderId="80" xfId="2" applyBorder="1"/>
    <xf numFmtId="0" fontId="16" fillId="0" borderId="0" xfId="2" applyFont="1" applyAlignment="1">
      <alignment horizontal="left" wrapText="1"/>
    </xf>
    <xf numFmtId="0" fontId="9" fillId="0" borderId="0" xfId="2" applyFont="1" applyAlignment="1">
      <alignment horizontal="left"/>
    </xf>
    <xf numFmtId="0" fontId="11" fillId="0" borderId="0" xfId="2" applyFont="1" applyAlignment="1">
      <alignment horizontal="left" vertical="center"/>
    </xf>
    <xf numFmtId="0" fontId="14" fillId="0" borderId="63" xfId="2" applyFont="1" applyBorder="1" applyAlignment="1">
      <alignment horizontal="center" vertical="center" wrapText="1"/>
    </xf>
    <xf numFmtId="0" fontId="11" fillId="0" borderId="23" xfId="2" applyFont="1" applyBorder="1" applyAlignment="1">
      <alignment horizontal="center" vertical="center"/>
    </xf>
    <xf numFmtId="0" fontId="4" fillId="0" borderId="0" xfId="2" applyFont="1" applyAlignment="1">
      <alignment horizontal="left"/>
    </xf>
    <xf numFmtId="0" fontId="10" fillId="0" borderId="0" xfId="2" applyFont="1" applyAlignment="1">
      <alignment horizontal="left"/>
    </xf>
    <xf numFmtId="0" fontId="49" fillId="0" borderId="0" xfId="0" applyFont="1" applyAlignment="1">
      <alignment vertical="center"/>
    </xf>
    <xf numFmtId="0" fontId="37" fillId="0" borderId="81" xfId="0" applyFont="1" applyBorder="1" applyAlignment="1">
      <alignment horizontal="center"/>
    </xf>
    <xf numFmtId="0" fontId="37" fillId="0" borderId="82" xfId="0" applyFont="1" applyBorder="1" applyAlignment="1">
      <alignment horizontal="center"/>
    </xf>
    <xf numFmtId="0" fontId="37" fillId="0" borderId="83" xfId="0" applyFont="1" applyBorder="1" applyAlignment="1">
      <alignment horizontal="center"/>
    </xf>
    <xf numFmtId="0" fontId="37" fillId="0" borderId="84" xfId="0" applyFont="1" applyBorder="1" applyAlignment="1">
      <alignment horizontal="center"/>
    </xf>
    <xf numFmtId="0" fontId="2" fillId="8" borderId="85" xfId="0" applyFont="1" applyFill="1" applyBorder="1" applyAlignment="1">
      <alignment horizontal="center"/>
    </xf>
    <xf numFmtId="0" fontId="2" fillId="0" borderId="19" xfId="0" applyFont="1" applyBorder="1" applyAlignment="1">
      <alignment horizontal="center"/>
    </xf>
    <xf numFmtId="0" fontId="2" fillId="0" borderId="86" xfId="0" applyFont="1" applyBorder="1" applyAlignment="1">
      <alignment horizontal="center"/>
    </xf>
    <xf numFmtId="0" fontId="2" fillId="0" borderId="87" xfId="0" applyFont="1" applyBorder="1" applyAlignment="1">
      <alignment horizontal="center"/>
    </xf>
    <xf numFmtId="0" fontId="2" fillId="0" borderId="20" xfId="0" applyFont="1" applyBorder="1" applyAlignment="1">
      <alignment horizontal="center"/>
    </xf>
    <xf numFmtId="0" fontId="2" fillId="8" borderId="88" xfId="0" applyFont="1" applyFill="1" applyBorder="1" applyAlignment="1">
      <alignment horizontal="center"/>
    </xf>
    <xf numFmtId="0" fontId="2" fillId="0" borderId="43" xfId="0" applyFont="1" applyBorder="1" applyAlignment="1">
      <alignment horizontal="center"/>
    </xf>
    <xf numFmtId="0" fontId="2" fillId="0" borderId="89" xfId="0" applyFont="1" applyBorder="1" applyAlignment="1">
      <alignment horizontal="center"/>
    </xf>
    <xf numFmtId="0" fontId="2" fillId="0" borderId="43" xfId="0" applyFont="1" applyBorder="1" applyAlignment="1">
      <alignment horizontal="center" wrapText="1"/>
    </xf>
    <xf numFmtId="0" fontId="2" fillId="0" borderId="46" xfId="0" applyFont="1" applyBorder="1" applyAlignment="1">
      <alignment horizontal="center"/>
    </xf>
    <xf numFmtId="0" fontId="9" fillId="0" borderId="0" xfId="0" applyFont="1" applyAlignment="1">
      <alignment vertical="top"/>
    </xf>
    <xf numFmtId="0" fontId="3" fillId="9" borderId="0" xfId="2" applyFont="1" applyFill="1"/>
    <xf numFmtId="0" fontId="8" fillId="9" borderId="0" xfId="2" applyFont="1" applyFill="1"/>
    <xf numFmtId="0" fontId="8" fillId="0" borderId="92" xfId="0" applyFont="1" applyBorder="1"/>
    <xf numFmtId="0" fontId="8" fillId="0" borderId="93" xfId="0" applyFont="1" applyBorder="1"/>
    <xf numFmtId="0" fontId="8" fillId="0" borderId="79" xfId="0" applyFont="1" applyBorder="1" applyAlignment="1">
      <alignment wrapText="1"/>
    </xf>
    <xf numFmtId="0" fontId="14" fillId="0" borderId="96" xfId="0" applyFont="1" applyBorder="1" applyAlignment="1">
      <alignment horizontal="center"/>
    </xf>
    <xf numFmtId="0" fontId="8" fillId="0" borderId="97" xfId="0" applyFont="1" applyBorder="1" applyAlignment="1">
      <alignment wrapText="1"/>
    </xf>
    <xf numFmtId="0" fontId="14" fillId="0" borderId="98" xfId="0" applyFont="1" applyBorder="1" applyAlignment="1">
      <alignment horizontal="center" vertical="top"/>
    </xf>
    <xf numFmtId="0" fontId="24" fillId="0" borderId="0" xfId="0" applyFont="1"/>
    <xf numFmtId="165" fontId="8" fillId="0" borderId="0" xfId="0" applyNumberFormat="1" applyFont="1"/>
    <xf numFmtId="0" fontId="24" fillId="0" borderId="0" xfId="0" applyFont="1" applyAlignment="1">
      <alignment wrapText="1"/>
    </xf>
    <xf numFmtId="0" fontId="8" fillId="0" borderId="0" xfId="0" applyFont="1" applyAlignment="1">
      <alignment vertical="top"/>
    </xf>
    <xf numFmtId="0" fontId="11" fillId="0" borderId="27" xfId="2" applyFont="1" applyBorder="1" applyAlignment="1">
      <alignment horizontal="center" vertical="center" wrapText="1"/>
    </xf>
    <xf numFmtId="0" fontId="11" fillId="0" borderId="63" xfId="2" applyFont="1" applyBorder="1" applyAlignment="1">
      <alignment horizontal="center" vertical="center" wrapText="1"/>
    </xf>
    <xf numFmtId="0" fontId="5" fillId="0" borderId="79" xfId="2" applyBorder="1"/>
    <xf numFmtId="0" fontId="14" fillId="0" borderId="109" xfId="0" applyFont="1" applyBorder="1" applyAlignment="1">
      <alignment horizontal="center"/>
    </xf>
    <xf numFmtId="0" fontId="14" fillId="0" borderId="110" xfId="0" applyFont="1" applyBorder="1" applyAlignment="1">
      <alignment horizontal="center"/>
    </xf>
    <xf numFmtId="0" fontId="14" fillId="0" borderId="110" xfId="0" applyFont="1" applyBorder="1" applyAlignment="1">
      <alignment horizontal="center" vertical="top"/>
    </xf>
    <xf numFmtId="0" fontId="9" fillId="3" borderId="111" xfId="0" applyFont="1" applyFill="1" applyBorder="1"/>
    <xf numFmtId="0" fontId="14" fillId="0" borderId="29" xfId="0" applyFont="1" applyBorder="1" applyAlignment="1">
      <alignment horizontal="center"/>
    </xf>
    <xf numFmtId="0" fontId="14" fillId="0" borderId="112" xfId="0" applyFont="1" applyBorder="1" applyAlignment="1">
      <alignment horizontal="center" vertical="top"/>
    </xf>
    <xf numFmtId="0" fontId="48" fillId="11" borderId="76" xfId="2" applyFont="1" applyFill="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left" vertical="top" wrapText="1"/>
    </xf>
    <xf numFmtId="0" fontId="11" fillId="0" borderId="0" xfId="0" applyFont="1" applyAlignment="1">
      <alignment wrapText="1"/>
    </xf>
    <xf numFmtId="0" fontId="9" fillId="5" borderId="8" xfId="0" applyFont="1" applyFill="1" applyBorder="1" applyAlignment="1">
      <alignment vertical="center" wrapText="1"/>
    </xf>
    <xf numFmtId="0" fontId="9" fillId="6" borderId="8" xfId="0" applyFont="1" applyFill="1" applyBorder="1" applyAlignment="1">
      <alignment vertical="center" wrapText="1"/>
    </xf>
    <xf numFmtId="0" fontId="9" fillId="7" borderId="8" xfId="0" applyFont="1" applyFill="1" applyBorder="1" applyAlignment="1">
      <alignment vertical="center" wrapText="1"/>
    </xf>
    <xf numFmtId="0" fontId="11" fillId="1" borderId="8" xfId="0" applyFont="1" applyFill="1" applyBorder="1" applyAlignment="1">
      <alignment vertical="center" wrapText="1"/>
    </xf>
    <xf numFmtId="0" fontId="9" fillId="0" borderId="0" xfId="0" applyFont="1" applyAlignment="1">
      <alignment vertical="center" wrapText="1"/>
    </xf>
    <xf numFmtId="0" fontId="9" fillId="0" borderId="0" xfId="0" applyFont="1" applyAlignment="1">
      <alignment vertical="center"/>
    </xf>
    <xf numFmtId="164" fontId="9" fillId="5" borderId="12" xfId="1" applyNumberFormat="1" applyFont="1" applyFill="1" applyBorder="1"/>
    <xf numFmtId="9" fontId="8" fillId="0" borderId="0" xfId="3" applyFont="1"/>
    <xf numFmtId="0" fontId="52" fillId="0" borderId="94" xfId="0" applyFont="1" applyBorder="1" applyAlignment="1">
      <alignment horizontal="center"/>
    </xf>
    <xf numFmtId="0" fontId="52" fillId="0" borderId="94" xfId="0" applyFont="1" applyBorder="1" applyAlignment="1">
      <alignment horizontal="center" wrapText="1"/>
    </xf>
    <xf numFmtId="0" fontId="52" fillId="0" borderId="95" xfId="0" applyFont="1" applyBorder="1" applyAlignment="1">
      <alignment horizontal="center"/>
    </xf>
    <xf numFmtId="0" fontId="52" fillId="0" borderId="24" xfId="0" applyFont="1" applyBorder="1" applyAlignment="1">
      <alignment horizontal="center"/>
    </xf>
    <xf numFmtId="0" fontId="52" fillId="0" borderId="96" xfId="0" applyFont="1" applyBorder="1" applyAlignment="1">
      <alignment horizontal="center"/>
    </xf>
    <xf numFmtId="0" fontId="52" fillId="0" borderId="54" xfId="0" applyFont="1" applyBorder="1" applyAlignment="1">
      <alignment horizontal="center" vertical="top"/>
    </xf>
    <xf numFmtId="0" fontId="52" fillId="0" borderId="54" xfId="0" applyFont="1" applyBorder="1" applyAlignment="1">
      <alignment horizontal="center" vertical="top" wrapText="1"/>
    </xf>
    <xf numFmtId="0" fontId="52" fillId="0" borderId="98" xfId="0" applyFont="1" applyBorder="1" applyAlignment="1">
      <alignment horizontal="center" vertical="top"/>
    </xf>
    <xf numFmtId="0" fontId="2" fillId="0" borderId="114" xfId="0" applyFont="1" applyBorder="1" applyAlignment="1">
      <alignment horizontal="center"/>
    </xf>
    <xf numFmtId="0" fontId="2" fillId="0" borderId="19" xfId="0" applyFont="1" applyBorder="1" applyAlignment="1">
      <alignment horizontal="center" wrapText="1"/>
    </xf>
    <xf numFmtId="4" fontId="24" fillId="4" borderId="8" xfId="0" applyNumberFormat="1" applyFont="1" applyFill="1" applyBorder="1"/>
    <xf numFmtId="4" fontId="24" fillId="4" borderId="6" xfId="0" applyNumberFormat="1" applyFont="1" applyFill="1" applyBorder="1"/>
    <xf numFmtId="164" fontId="24" fillId="4" borderId="8" xfId="0" applyNumberFormat="1" applyFont="1" applyFill="1" applyBorder="1"/>
    <xf numFmtId="0" fontId="11" fillId="0" borderId="3" xfId="0" applyFont="1" applyBorder="1" applyAlignment="1">
      <alignment horizontal="center" vertical="center" wrapText="1"/>
    </xf>
    <xf numFmtId="44" fontId="9" fillId="5" borderId="8" xfId="0" applyNumberFormat="1" applyFont="1" applyFill="1" applyBorder="1"/>
    <xf numFmtId="0" fontId="11" fillId="3" borderId="58" xfId="0" applyFont="1" applyFill="1" applyBorder="1" applyAlignment="1">
      <alignment wrapText="1"/>
    </xf>
    <xf numFmtId="0" fontId="11" fillId="3" borderId="123" xfId="0" applyFont="1" applyFill="1" applyBorder="1" applyAlignment="1">
      <alignment wrapText="1"/>
    </xf>
    <xf numFmtId="0" fontId="11" fillId="3" borderId="127" xfId="0" applyFont="1" applyFill="1" applyBorder="1" applyAlignment="1">
      <alignment wrapText="1"/>
    </xf>
    <xf numFmtId="0" fontId="11" fillId="3" borderId="13" xfId="0" applyFont="1" applyFill="1" applyBorder="1" applyAlignment="1">
      <alignment wrapText="1"/>
    </xf>
    <xf numFmtId="0" fontId="11" fillId="3" borderId="0" xfId="0" applyFont="1" applyFill="1" applyAlignment="1">
      <alignment wrapText="1"/>
    </xf>
    <xf numFmtId="0" fontId="11" fillId="3" borderId="126" xfId="0" applyFont="1" applyFill="1" applyBorder="1" applyAlignment="1">
      <alignment wrapText="1"/>
    </xf>
    <xf numFmtId="0" fontId="11" fillId="3" borderId="4" xfId="0" applyFont="1" applyFill="1" applyBorder="1" applyAlignment="1">
      <alignment wrapText="1"/>
    </xf>
    <xf numFmtId="0" fontId="11" fillId="3" borderId="7" xfId="0" applyFont="1" applyFill="1" applyBorder="1" applyAlignment="1">
      <alignment wrapText="1"/>
    </xf>
    <xf numFmtId="0" fontId="11" fillId="3" borderId="14" xfId="0" applyFont="1" applyFill="1" applyBorder="1" applyAlignment="1">
      <alignment wrapText="1"/>
    </xf>
    <xf numFmtId="0" fontId="11" fillId="3" borderId="66" xfId="0" applyFont="1" applyFill="1" applyBorder="1" applyAlignment="1">
      <alignment wrapText="1"/>
    </xf>
    <xf numFmtId="0" fontId="11" fillId="3" borderId="24" xfId="0" applyFont="1" applyFill="1" applyBorder="1" applyAlignment="1">
      <alignment wrapText="1"/>
    </xf>
    <xf numFmtId="0" fontId="11" fillId="3" borderId="54" xfId="0" applyFont="1" applyFill="1" applyBorder="1" applyAlignment="1">
      <alignment wrapText="1"/>
    </xf>
    <xf numFmtId="164" fontId="11" fillId="5" borderId="60" xfId="0" applyNumberFormat="1" applyFont="1" applyFill="1" applyBorder="1"/>
    <xf numFmtId="0" fontId="11" fillId="3" borderId="128" xfId="0" applyFont="1" applyFill="1" applyBorder="1" applyAlignment="1">
      <alignment wrapText="1"/>
    </xf>
    <xf numFmtId="0" fontId="9" fillId="0" borderId="12" xfId="0" applyFont="1" applyBorder="1" applyAlignment="1">
      <alignment wrapText="1"/>
    </xf>
    <xf numFmtId="10" fontId="9" fillId="5" borderId="8" xfId="3" applyNumberFormat="1" applyFont="1" applyFill="1" applyBorder="1"/>
    <xf numFmtId="0" fontId="53" fillId="0" borderId="0" xfId="0" applyFont="1" applyAlignment="1">
      <alignment horizontal="center" textRotation="180"/>
    </xf>
    <xf numFmtId="0" fontId="11" fillId="3" borderId="129" xfId="0" applyFont="1" applyFill="1" applyBorder="1" applyAlignment="1">
      <alignment wrapText="1"/>
    </xf>
    <xf numFmtId="0" fontId="9" fillId="0" borderId="5" xfId="0" applyFont="1" applyBorder="1" applyAlignment="1">
      <alignment vertical="center"/>
    </xf>
    <xf numFmtId="0" fontId="9" fillId="0" borderId="15" xfId="0" applyFont="1" applyBorder="1"/>
    <xf numFmtId="0" fontId="2" fillId="0" borderId="0" xfId="0" applyFont="1"/>
    <xf numFmtId="7" fontId="0" fillId="0" borderId="0" xfId="0" applyNumberFormat="1"/>
    <xf numFmtId="0" fontId="55" fillId="9" borderId="21" xfId="0" applyFont="1" applyFill="1" applyBorder="1" applyAlignment="1">
      <alignment horizontal="center"/>
    </xf>
    <xf numFmtId="0" fontId="55" fillId="9" borderId="18" xfId="0" applyFont="1" applyFill="1" applyBorder="1" applyAlignment="1">
      <alignment horizontal="center"/>
    </xf>
    <xf numFmtId="0" fontId="55" fillId="9" borderId="61" xfId="4" applyNumberFormat="1" applyFont="1" applyFill="1" applyBorder="1" applyAlignment="1">
      <alignment horizontal="center"/>
    </xf>
    <xf numFmtId="0" fontId="55" fillId="9" borderId="14" xfId="0" applyFont="1" applyFill="1" applyBorder="1" applyAlignment="1">
      <alignment horizontal="center"/>
    </xf>
    <xf numFmtId="0" fontId="55" fillId="0" borderId="14" xfId="0" applyFont="1" applyBorder="1" applyAlignment="1">
      <alignment horizontal="center"/>
    </xf>
    <xf numFmtId="0" fontId="55" fillId="9" borderId="14" xfId="4" applyNumberFormat="1" applyFont="1" applyFill="1" applyBorder="1" applyAlignment="1">
      <alignment horizontal="center"/>
    </xf>
    <xf numFmtId="0" fontId="55" fillId="9" borderId="0" xfId="0" applyFont="1" applyFill="1" applyAlignment="1">
      <alignment horizontal="center"/>
    </xf>
    <xf numFmtId="0" fontId="38" fillId="0" borderId="0" xfId="0" applyFont="1"/>
    <xf numFmtId="43" fontId="0" fillId="0" borderId="8" xfId="4" applyFont="1" applyFill="1" applyBorder="1"/>
    <xf numFmtId="0" fontId="0" fillId="0" borderId="8" xfId="0" applyBorder="1"/>
    <xf numFmtId="43" fontId="0" fillId="0" borderId="8" xfId="0" applyNumberFormat="1" applyBorder="1"/>
    <xf numFmtId="10" fontId="0" fillId="0" borderId="8" xfId="0" applyNumberFormat="1" applyBorder="1"/>
    <xf numFmtId="0" fontId="38" fillId="0" borderId="8" xfId="0" applyFont="1" applyBorder="1"/>
    <xf numFmtId="43" fontId="38" fillId="0" borderId="8" xfId="4" applyFont="1" applyFill="1" applyBorder="1"/>
    <xf numFmtId="0" fontId="38" fillId="9" borderId="8" xfId="0" applyFont="1" applyFill="1" applyBorder="1" applyAlignment="1">
      <alignment horizontal="center"/>
    </xf>
    <xf numFmtId="0" fontId="16" fillId="0" borderId="0" xfId="0" applyFont="1" applyAlignment="1">
      <alignment horizontal="left" wrapText="1"/>
    </xf>
    <xf numFmtId="0" fontId="14" fillId="0" borderId="0" xfId="0" applyFont="1" applyAlignment="1">
      <alignment horizontal="center"/>
    </xf>
    <xf numFmtId="0" fontId="9" fillId="14" borderId="27" xfId="0" applyFont="1" applyFill="1" applyBorder="1" applyAlignment="1">
      <alignment vertical="center"/>
    </xf>
    <xf numFmtId="0" fontId="9" fillId="14" borderId="28" xfId="0" applyFont="1" applyFill="1" applyBorder="1" applyAlignment="1">
      <alignment vertical="center"/>
    </xf>
    <xf numFmtId="0" fontId="11" fillId="14" borderId="27" xfId="0" applyFont="1" applyFill="1" applyBorder="1" applyAlignment="1">
      <alignment vertical="center" wrapText="1"/>
    </xf>
    <xf numFmtId="0" fontId="9" fillId="14" borderId="24" xfId="0" applyFont="1" applyFill="1" applyBorder="1" applyAlignment="1">
      <alignment vertical="center"/>
    </xf>
    <xf numFmtId="0" fontId="11" fillId="14" borderId="23" xfId="0" applyFont="1" applyFill="1" applyBorder="1" applyAlignment="1">
      <alignment vertical="center"/>
    </xf>
    <xf numFmtId="0" fontId="11" fillId="15" borderId="23" xfId="0" applyFont="1" applyFill="1" applyBorder="1" applyAlignment="1">
      <alignment vertical="center"/>
    </xf>
    <xf numFmtId="0" fontId="9" fillId="15" borderId="27" xfId="0" applyFont="1" applyFill="1" applyBorder="1" applyAlignment="1">
      <alignment vertical="center"/>
    </xf>
    <xf numFmtId="0" fontId="9" fillId="15" borderId="28" xfId="0" applyFont="1" applyFill="1" applyBorder="1" applyAlignment="1">
      <alignment vertical="center"/>
    </xf>
    <xf numFmtId="0" fontId="11" fillId="15" borderId="28" xfId="0" applyFont="1" applyFill="1" applyBorder="1" applyAlignment="1">
      <alignment vertical="center" wrapText="1"/>
    </xf>
    <xf numFmtId="0" fontId="9" fillId="15" borderId="24" xfId="0" applyFont="1" applyFill="1" applyBorder="1" applyAlignment="1">
      <alignment vertical="center"/>
    </xf>
    <xf numFmtId="0" fontId="11" fillId="15" borderId="27" xfId="0" applyFont="1" applyFill="1" applyBorder="1" applyAlignment="1">
      <alignment vertical="center" wrapText="1"/>
    </xf>
    <xf numFmtId="0" fontId="11" fillId="15" borderId="35" xfId="0" applyFont="1" applyFill="1" applyBorder="1" applyAlignment="1">
      <alignment vertical="center" wrapText="1"/>
    </xf>
    <xf numFmtId="0" fontId="11" fillId="15" borderId="109" xfId="0" applyFont="1" applyFill="1" applyBorder="1" applyAlignment="1">
      <alignment vertical="center" wrapText="1"/>
    </xf>
    <xf numFmtId="10" fontId="56" fillId="15" borderId="0" xfId="0" quotePrefix="1" applyNumberFormat="1" applyFont="1" applyFill="1" applyAlignment="1">
      <alignment wrapText="1"/>
    </xf>
    <xf numFmtId="10" fontId="56" fillId="14" borderId="0" xfId="0" quotePrefix="1" applyNumberFormat="1" applyFont="1" applyFill="1" applyAlignment="1">
      <alignment wrapText="1"/>
    </xf>
    <xf numFmtId="0" fontId="11" fillId="16" borderId="34" xfId="0" applyFont="1" applyFill="1" applyBorder="1" applyAlignment="1">
      <alignment vertical="center"/>
    </xf>
    <xf numFmtId="0" fontId="9" fillId="16" borderId="28" xfId="0" applyFont="1" applyFill="1" applyBorder="1" applyAlignment="1">
      <alignment vertical="center"/>
    </xf>
    <xf numFmtId="0" fontId="9" fillId="16" borderId="7" xfId="0" applyFont="1" applyFill="1" applyBorder="1"/>
    <xf numFmtId="0" fontId="8" fillId="16" borderId="32" xfId="0" applyFont="1" applyFill="1" applyBorder="1"/>
    <xf numFmtId="0" fontId="9" fillId="0" borderId="7" xfId="0" applyFont="1" applyBorder="1" applyAlignment="1">
      <alignment horizontal="left" vertical="top"/>
    </xf>
    <xf numFmtId="0" fontId="9" fillId="0" borderId="133" xfId="0" applyFont="1" applyBorder="1"/>
    <xf numFmtId="0" fontId="8" fillId="0" borderId="0" xfId="0" applyFont="1" applyAlignment="1">
      <alignment horizontal="center"/>
    </xf>
    <xf numFmtId="7" fontId="0" fillId="17" borderId="5" xfId="0" applyNumberFormat="1" applyFill="1" applyBorder="1"/>
    <xf numFmtId="0" fontId="11" fillId="18" borderId="43" xfId="0" applyFont="1" applyFill="1" applyBorder="1" applyAlignment="1">
      <alignment wrapText="1"/>
    </xf>
    <xf numFmtId="7" fontId="0" fillId="17" borderId="15" xfId="0" applyNumberFormat="1" applyFill="1" applyBorder="1"/>
    <xf numFmtId="7" fontId="0" fillId="19" borderId="46" xfId="0" applyNumberFormat="1" applyFill="1" applyBorder="1"/>
    <xf numFmtId="0" fontId="59" fillId="21" borderId="79" xfId="0" applyFont="1" applyFill="1" applyBorder="1"/>
    <xf numFmtId="0" fontId="59" fillId="21" borderId="107" xfId="0" applyFont="1" applyFill="1" applyBorder="1"/>
    <xf numFmtId="0" fontId="59" fillId="21" borderId="134" xfId="0" applyFont="1" applyFill="1" applyBorder="1" applyAlignment="1">
      <alignment horizontal="left"/>
    </xf>
    <xf numFmtId="0" fontId="60" fillId="21" borderId="134" xfId="0" applyFont="1" applyFill="1" applyBorder="1"/>
    <xf numFmtId="0" fontId="60" fillId="21" borderId="135" xfId="0" applyFont="1" applyFill="1" applyBorder="1"/>
    <xf numFmtId="0" fontId="59" fillId="0" borderId="0" xfId="0" applyFont="1" applyAlignment="1">
      <alignment horizontal="center"/>
    </xf>
    <xf numFmtId="0" fontId="65" fillId="0" borderId="0" xfId="0" applyFont="1"/>
    <xf numFmtId="0" fontId="65" fillId="20" borderId="146" xfId="0" applyFont="1" applyFill="1" applyBorder="1" applyAlignment="1">
      <alignment horizontal="center" vertical="center" wrapText="1"/>
    </xf>
    <xf numFmtId="0" fontId="65" fillId="20" borderId="149" xfId="0" applyFont="1" applyFill="1" applyBorder="1" applyAlignment="1">
      <alignment horizontal="center" vertical="center" wrapText="1"/>
    </xf>
    <xf numFmtId="0" fontId="65" fillId="20" borderId="151" xfId="0" applyFont="1" applyFill="1" applyBorder="1" applyAlignment="1">
      <alignment horizontal="center" vertical="center" wrapText="1"/>
    </xf>
    <xf numFmtId="0" fontId="61" fillId="0" borderId="140" xfId="0" applyFont="1" applyBorder="1" applyAlignment="1">
      <alignment horizontal="center" vertical="center" wrapText="1"/>
    </xf>
    <xf numFmtId="8" fontId="8" fillId="21" borderId="149" xfId="0" applyNumberFormat="1" applyFont="1" applyFill="1" applyBorder="1"/>
    <xf numFmtId="0" fontId="66" fillId="20" borderId="146" xfId="0" applyFont="1" applyFill="1" applyBorder="1" applyAlignment="1">
      <alignment horizontal="center" vertical="center" wrapText="1"/>
    </xf>
    <xf numFmtId="0" fontId="8" fillId="21" borderId="149" xfId="0" applyFont="1" applyFill="1" applyBorder="1"/>
    <xf numFmtId="0" fontId="67" fillId="20" borderId="146" xfId="0" applyFont="1" applyFill="1" applyBorder="1" applyAlignment="1">
      <alignment horizontal="center" vertical="center" wrapText="1"/>
    </xf>
    <xf numFmtId="0" fontId="67" fillId="20" borderId="137" xfId="0" applyFont="1" applyFill="1" applyBorder="1" applyAlignment="1">
      <alignment horizontal="center" vertical="center" wrapText="1"/>
    </xf>
    <xf numFmtId="0" fontId="67" fillId="20" borderId="151" xfId="0" applyFont="1" applyFill="1" applyBorder="1" applyAlignment="1">
      <alignment horizontal="center" vertical="center" wrapText="1"/>
    </xf>
    <xf numFmtId="0" fontId="67" fillId="20" borderId="149" xfId="0" applyFont="1" applyFill="1" applyBorder="1" applyAlignment="1">
      <alignment horizontal="center" vertical="center" wrapText="1"/>
    </xf>
    <xf numFmtId="0" fontId="61" fillId="0" borderId="154" xfId="0" applyFont="1" applyBorder="1" applyAlignment="1">
      <alignment horizontal="center" vertical="center" wrapText="1"/>
    </xf>
    <xf numFmtId="8" fontId="65" fillId="21" borderId="155" xfId="0" applyNumberFormat="1" applyFont="1" applyFill="1" applyBorder="1" applyAlignment="1">
      <alignment vertical="center" wrapText="1"/>
    </xf>
    <xf numFmtId="0" fontId="65" fillId="21" borderId="155" xfId="0" applyFont="1" applyFill="1" applyBorder="1" applyAlignment="1">
      <alignment vertical="center" wrapText="1"/>
    </xf>
    <xf numFmtId="0" fontId="67" fillId="20" borderId="136" xfId="0" applyFont="1" applyFill="1" applyBorder="1" applyAlignment="1">
      <alignment horizontal="center" vertical="center" wrapText="1"/>
    </xf>
    <xf numFmtId="0" fontId="61" fillId="0" borderId="156" xfId="0" applyFont="1" applyBorder="1" applyAlignment="1">
      <alignment horizontal="center" vertical="center" wrapText="1"/>
    </xf>
    <xf numFmtId="0" fontId="73" fillId="0" borderId="0" xfId="0" applyFont="1"/>
    <xf numFmtId="0" fontId="73" fillId="0" borderId="0" xfId="0" applyFont="1" applyAlignment="1">
      <alignment wrapText="1"/>
    </xf>
    <xf numFmtId="0" fontId="61" fillId="21" borderId="162" xfId="0" applyFont="1" applyFill="1" applyBorder="1" applyAlignment="1">
      <alignment horizontal="center" vertical="center" wrapText="1"/>
    </xf>
    <xf numFmtId="0" fontId="68" fillId="20" borderId="165" xfId="0" applyFont="1" applyFill="1" applyBorder="1" applyAlignment="1">
      <alignment horizontal="center" vertical="center" wrapText="1"/>
    </xf>
    <xf numFmtId="0" fontId="68" fillId="20" borderId="164" xfId="0" applyFont="1" applyFill="1" applyBorder="1" applyAlignment="1">
      <alignment horizontal="center" vertical="center" wrapText="1"/>
    </xf>
    <xf numFmtId="0" fontId="68" fillId="20" borderId="166" xfId="0" applyFont="1" applyFill="1" applyBorder="1" applyAlignment="1">
      <alignment horizontal="center" vertical="center" wrapText="1"/>
    </xf>
    <xf numFmtId="0" fontId="61" fillId="21" borderId="168" xfId="0" applyFont="1" applyFill="1" applyBorder="1" applyAlignment="1">
      <alignment horizontal="center" vertical="center" wrapText="1"/>
    </xf>
    <xf numFmtId="0" fontId="65" fillId="20" borderId="148" xfId="0" applyFont="1" applyFill="1" applyBorder="1" applyAlignment="1">
      <alignment horizontal="center" vertical="center" wrapText="1"/>
    </xf>
    <xf numFmtId="0" fontId="65" fillId="20" borderId="150" xfId="0" applyFont="1" applyFill="1" applyBorder="1" applyAlignment="1">
      <alignment horizontal="center" vertical="center" wrapText="1"/>
    </xf>
    <xf numFmtId="0" fontId="65" fillId="20" borderId="153" xfId="0" applyFont="1" applyFill="1" applyBorder="1" applyAlignment="1">
      <alignment horizontal="center" vertical="center" wrapText="1"/>
    </xf>
    <xf numFmtId="0" fontId="61" fillId="21" borderId="142" xfId="0" applyFont="1" applyFill="1" applyBorder="1" applyAlignment="1">
      <alignment horizontal="center" vertical="center" wrapText="1"/>
    </xf>
    <xf numFmtId="0" fontId="68" fillId="20" borderId="146" xfId="0" applyFont="1" applyFill="1" applyBorder="1" applyAlignment="1">
      <alignment horizontal="center" vertical="center" wrapText="1"/>
    </xf>
    <xf numFmtId="0" fontId="68" fillId="20" borderId="149" xfId="0" applyFont="1" applyFill="1" applyBorder="1" applyAlignment="1">
      <alignment horizontal="center" vertical="center" wrapText="1"/>
    </xf>
    <xf numFmtId="0" fontId="68" fillId="20" borderId="151" xfId="0" applyFont="1" applyFill="1" applyBorder="1" applyAlignment="1">
      <alignment horizontal="center" vertical="center" wrapText="1"/>
    </xf>
    <xf numFmtId="0" fontId="61" fillId="21" borderId="169" xfId="0" applyFont="1" applyFill="1" applyBorder="1" applyAlignment="1">
      <alignment horizontal="center" vertical="center" wrapText="1"/>
    </xf>
    <xf numFmtId="0" fontId="60" fillId="20" borderId="171" xfId="0" applyFont="1" applyFill="1" applyBorder="1"/>
    <xf numFmtId="0" fontId="65" fillId="20" borderId="79" xfId="0" applyFont="1" applyFill="1" applyBorder="1"/>
    <xf numFmtId="0" fontId="72" fillId="20" borderId="171" xfId="0" applyFont="1" applyFill="1" applyBorder="1" applyAlignment="1">
      <alignment horizontal="right"/>
    </xf>
    <xf numFmtId="0" fontId="59" fillId="0" borderId="0" xfId="0" applyFont="1" applyAlignment="1">
      <alignment horizontal="justify"/>
    </xf>
    <xf numFmtId="0" fontId="60" fillId="0" borderId="0" xfId="0" applyFont="1" applyAlignment="1">
      <alignment horizontal="center"/>
    </xf>
    <xf numFmtId="6" fontId="61" fillId="21" borderId="141" xfId="0" applyNumberFormat="1" applyFont="1" applyFill="1" applyBorder="1" applyAlignment="1">
      <alignment vertical="center" wrapText="1"/>
    </xf>
    <xf numFmtId="8" fontId="61" fillId="21" borderId="179" xfId="0" applyNumberFormat="1" applyFont="1" applyFill="1" applyBorder="1" applyAlignment="1">
      <alignment vertical="center" wrapText="1"/>
    </xf>
    <xf numFmtId="0" fontId="8" fillId="21" borderId="141" xfId="0" applyFont="1" applyFill="1" applyBorder="1"/>
    <xf numFmtId="8" fontId="61" fillId="21" borderId="169" xfId="0" applyNumberFormat="1" applyFont="1" applyFill="1" applyBorder="1" applyAlignment="1">
      <alignment vertical="center" wrapText="1"/>
    </xf>
    <xf numFmtId="8" fontId="65" fillId="21" borderId="180" xfId="0" applyNumberFormat="1" applyFont="1" applyFill="1" applyBorder="1" applyAlignment="1">
      <alignment vertical="center" wrapText="1"/>
    </xf>
    <xf numFmtId="8" fontId="65" fillId="21" borderId="181" xfId="0" applyNumberFormat="1" applyFont="1" applyFill="1" applyBorder="1" applyAlignment="1">
      <alignment vertical="center" wrapText="1"/>
    </xf>
    <xf numFmtId="0" fontId="65" fillId="21" borderId="181" xfId="0" applyFont="1" applyFill="1" applyBorder="1" applyAlignment="1">
      <alignment vertical="center" wrapText="1"/>
    </xf>
    <xf numFmtId="0" fontId="65" fillId="21" borderId="108" xfId="0" applyFont="1" applyFill="1" applyBorder="1" applyAlignment="1">
      <alignment vertical="center" wrapText="1"/>
    </xf>
    <xf numFmtId="0" fontId="63" fillId="0" borderId="182" xfId="0" applyFont="1" applyBorder="1" applyAlignment="1">
      <alignment horizontal="center" vertical="center" wrapText="1"/>
    </xf>
    <xf numFmtId="0" fontId="61" fillId="21" borderId="183" xfId="0" applyFont="1" applyFill="1" applyBorder="1" applyAlignment="1">
      <alignment horizontal="center" vertical="center" wrapText="1"/>
    </xf>
    <xf numFmtId="8" fontId="61" fillId="21" borderId="80" xfId="0" applyNumberFormat="1" applyFont="1" applyFill="1" applyBorder="1" applyAlignment="1">
      <alignment vertical="center" wrapText="1"/>
    </xf>
    <xf numFmtId="0" fontId="68" fillId="20" borderId="187" xfId="0" applyFont="1" applyFill="1" applyBorder="1" applyAlignment="1">
      <alignment horizontal="center" vertical="center" wrapText="1"/>
    </xf>
    <xf numFmtId="0" fontId="68" fillId="20" borderId="142" xfId="0" applyFont="1" applyFill="1" applyBorder="1" applyAlignment="1">
      <alignment horizontal="center" vertical="center" wrapText="1"/>
    </xf>
    <xf numFmtId="0" fontId="68" fillId="20" borderId="188" xfId="0" applyFont="1" applyFill="1" applyBorder="1" applyAlignment="1">
      <alignment horizontal="center" vertical="center" wrapText="1"/>
    </xf>
    <xf numFmtId="0" fontId="70" fillId="20" borderId="0" xfId="0" applyFont="1" applyFill="1"/>
    <xf numFmtId="0" fontId="60" fillId="20" borderId="0" xfId="0" applyFont="1" applyFill="1" applyAlignment="1">
      <alignment horizontal="center"/>
    </xf>
    <xf numFmtId="0" fontId="60" fillId="20" borderId="0" xfId="0" applyFont="1" applyFill="1"/>
    <xf numFmtId="0" fontId="71" fillId="20" borderId="0" xfId="0" applyFont="1" applyFill="1"/>
    <xf numFmtId="0" fontId="60" fillId="21" borderId="0" xfId="0" applyFont="1" applyFill="1"/>
    <xf numFmtId="0" fontId="14" fillId="0" borderId="106" xfId="0" applyFont="1" applyBorder="1" applyAlignment="1">
      <alignment horizontal="center"/>
    </xf>
    <xf numFmtId="0" fontId="14" fillId="0" borderId="99" xfId="0" applyFont="1" applyBorder="1" applyAlignment="1">
      <alignment horizontal="center"/>
    </xf>
    <xf numFmtId="0" fontId="14" fillId="0" borderId="99" xfId="0" applyFont="1" applyBorder="1" applyAlignment="1">
      <alignment horizontal="center" vertical="top"/>
    </xf>
    <xf numFmtId="0" fontId="9" fillId="3" borderId="101" xfId="0" applyFont="1" applyFill="1" applyBorder="1"/>
    <xf numFmtId="0" fontId="52" fillId="0" borderId="92" xfId="0" applyFont="1" applyBorder="1" applyAlignment="1">
      <alignment horizontal="center"/>
    </xf>
    <xf numFmtId="0" fontId="52" fillId="0" borderId="79" xfId="0" applyFont="1" applyBorder="1" applyAlignment="1">
      <alignment horizontal="center"/>
    </xf>
    <xf numFmtId="0" fontId="52" fillId="0" borderId="97" xfId="0" applyFont="1" applyBorder="1" applyAlignment="1">
      <alignment horizontal="center" vertical="top"/>
    </xf>
    <xf numFmtId="0" fontId="14" fillId="0" borderId="79" xfId="0" applyFont="1" applyBorder="1" applyAlignment="1">
      <alignment horizontal="center"/>
    </xf>
    <xf numFmtId="0" fontId="14" fillId="0" borderId="97" xfId="0" applyFont="1" applyBorder="1" applyAlignment="1">
      <alignment horizontal="center" vertical="top"/>
    </xf>
    <xf numFmtId="0" fontId="10" fillId="0" borderId="0" xfId="2" applyFont="1" applyAlignment="1">
      <alignment horizontal="left" vertical="center"/>
    </xf>
    <xf numFmtId="0" fontId="10" fillId="0" borderId="0" xfId="0" applyFont="1" applyAlignment="1">
      <alignment horizontal="left" vertical="center" wrapText="1"/>
    </xf>
    <xf numFmtId="0" fontId="5" fillId="0" borderId="8" xfId="0" applyFont="1" applyBorder="1"/>
    <xf numFmtId="0" fontId="83" fillId="12" borderId="76" xfId="2" applyFont="1" applyFill="1" applyBorder="1" applyAlignment="1">
      <alignment horizontal="center" vertical="center" wrapText="1"/>
    </xf>
    <xf numFmtId="0" fontId="0" fillId="0" borderId="0" xfId="0" applyAlignment="1">
      <alignment wrapText="1"/>
    </xf>
    <xf numFmtId="0" fontId="5" fillId="0" borderId="194" xfId="0" applyFont="1" applyBorder="1"/>
    <xf numFmtId="166" fontId="0" fillId="0" borderId="194" xfId="0" applyNumberFormat="1" applyBorder="1"/>
    <xf numFmtId="0" fontId="5" fillId="0" borderId="194" xfId="0" applyFont="1" applyBorder="1" applyAlignment="1">
      <alignment wrapText="1"/>
    </xf>
    <xf numFmtId="14" fontId="0" fillId="0" borderId="194" xfId="0" applyNumberFormat="1" applyBorder="1"/>
    <xf numFmtId="0" fontId="5" fillId="0" borderId="8" xfId="0" applyFont="1" applyBorder="1" applyAlignment="1">
      <alignment wrapText="1"/>
    </xf>
    <xf numFmtId="14" fontId="0" fillId="0" borderId="8" xfId="0" applyNumberFormat="1" applyBorder="1"/>
    <xf numFmtId="0" fontId="1" fillId="0" borderId="193" xfId="0" applyFont="1" applyBorder="1" applyAlignment="1">
      <alignment wrapText="1"/>
    </xf>
    <xf numFmtId="0" fontId="0" fillId="0" borderId="8" xfId="0" applyBorder="1" applyAlignment="1">
      <alignment wrapText="1"/>
    </xf>
    <xf numFmtId="14" fontId="5" fillId="0" borderId="8" xfId="0" applyNumberFormat="1" applyFont="1" applyBorder="1"/>
    <xf numFmtId="0" fontId="5" fillId="0" borderId="0" xfId="2" applyAlignment="1">
      <alignment wrapText="1"/>
    </xf>
    <xf numFmtId="0" fontId="16" fillId="0" borderId="0" xfId="2" applyFont="1" applyAlignment="1">
      <alignment horizontal="left" vertical="top" wrapText="1"/>
    </xf>
    <xf numFmtId="0" fontId="2" fillId="0" borderId="91" xfId="0" applyFont="1" applyBorder="1" applyAlignment="1">
      <alignment horizontal="left"/>
    </xf>
    <xf numFmtId="0" fontId="2" fillId="0" borderId="14" xfId="0" applyFont="1" applyBorder="1" applyAlignment="1">
      <alignment horizontal="left"/>
    </xf>
    <xf numFmtId="0" fontId="2" fillId="0" borderId="41" xfId="0" applyFont="1" applyBorder="1" applyAlignment="1">
      <alignment horizontal="left"/>
    </xf>
    <xf numFmtId="0" fontId="2" fillId="0" borderId="4" xfId="0" applyFont="1" applyBorder="1" applyAlignment="1">
      <alignment horizontal="left"/>
    </xf>
    <xf numFmtId="0" fontId="2" fillId="0" borderId="18" xfId="0" applyFont="1" applyBorder="1" applyAlignment="1">
      <alignment horizontal="left"/>
    </xf>
    <xf numFmtId="0" fontId="2" fillId="0" borderId="61" xfId="0" applyFont="1" applyBorder="1" applyAlignment="1">
      <alignment horizontal="left"/>
    </xf>
    <xf numFmtId="0" fontId="9" fillId="0" borderId="0" xfId="0" applyFont="1" applyAlignment="1">
      <alignment horizontal="left" wrapText="1"/>
    </xf>
    <xf numFmtId="0" fontId="0" fillId="0" borderId="36" xfId="0" applyBorder="1"/>
    <xf numFmtId="0" fontId="5" fillId="9" borderId="0" xfId="2" applyFill="1" applyAlignment="1">
      <alignment vertical="center" wrapText="1"/>
    </xf>
    <xf numFmtId="0" fontId="25" fillId="9" borderId="0" xfId="2" applyFont="1" applyFill="1" applyAlignment="1">
      <alignment vertical="center" wrapText="1"/>
    </xf>
    <xf numFmtId="0" fontId="16" fillId="9" borderId="0" xfId="2" applyFont="1" applyFill="1" applyAlignment="1">
      <alignment vertical="center" wrapText="1"/>
    </xf>
    <xf numFmtId="0" fontId="9" fillId="0" borderId="0" xfId="0" applyFont="1" applyAlignment="1">
      <alignment horizontal="left" vertical="top" wrapText="1"/>
    </xf>
    <xf numFmtId="0" fontId="8" fillId="0" borderId="30" xfId="0" applyFont="1" applyBorder="1" applyAlignment="1">
      <alignment horizontal="left" vertical="center" wrapText="1"/>
    </xf>
    <xf numFmtId="0" fontId="60" fillId="0" borderId="0" xfId="0" applyFont="1"/>
    <xf numFmtId="0" fontId="68" fillId="20" borderId="134" xfId="0" applyFont="1" applyFill="1" applyBorder="1" applyAlignment="1">
      <alignment horizontal="left"/>
    </xf>
    <xf numFmtId="0" fontId="60" fillId="0" borderId="0" xfId="0" applyFont="1" applyAlignment="1">
      <alignment vertical="center"/>
    </xf>
    <xf numFmtId="0" fontId="61" fillId="0" borderId="139" xfId="0" applyFont="1" applyBorder="1" applyAlignment="1">
      <alignment horizontal="center" vertical="center" wrapText="1"/>
    </xf>
    <xf numFmtId="0" fontId="61" fillId="0" borderId="155" xfId="0" applyFont="1" applyBorder="1" applyAlignment="1">
      <alignment horizontal="center" vertical="center" wrapText="1"/>
    </xf>
    <xf numFmtId="0" fontId="59" fillId="21" borderId="134" xfId="0" applyFont="1" applyFill="1" applyBorder="1"/>
    <xf numFmtId="0" fontId="61" fillId="20" borderId="148" xfId="0" applyFont="1" applyFill="1" applyBorder="1" applyAlignment="1">
      <alignment horizontal="center" vertical="center" wrapText="1"/>
    </xf>
    <xf numFmtId="0" fontId="61" fillId="20" borderId="150" xfId="0" applyFont="1" applyFill="1" applyBorder="1" applyAlignment="1">
      <alignment horizontal="center" vertical="center" wrapText="1"/>
    </xf>
    <xf numFmtId="0" fontId="61" fillId="20" borderId="153" xfId="0" applyFont="1" applyFill="1" applyBorder="1" applyAlignment="1">
      <alignment horizontal="center" vertical="center" wrapText="1"/>
    </xf>
    <xf numFmtId="0" fontId="59" fillId="21" borderId="0" xfId="0" applyFont="1" applyFill="1" applyAlignment="1">
      <alignment horizontal="left"/>
    </xf>
    <xf numFmtId="0" fontId="59" fillId="21" borderId="0" xfId="0" applyFont="1" applyFill="1"/>
    <xf numFmtId="0" fontId="10" fillId="0" borderId="0" xfId="0" applyFont="1" applyAlignment="1">
      <alignment horizontal="left"/>
    </xf>
    <xf numFmtId="0" fontId="9" fillId="0" borderId="0" xfId="2" applyFont="1" applyAlignment="1">
      <alignment wrapText="1"/>
    </xf>
    <xf numFmtId="0" fontId="38" fillId="12" borderId="90" xfId="2" applyFont="1" applyFill="1" applyBorder="1" applyAlignment="1">
      <alignment horizontal="center" vertical="center"/>
    </xf>
    <xf numFmtId="7" fontId="8" fillId="0" borderId="0" xfId="0" applyNumberFormat="1" applyFont="1"/>
    <xf numFmtId="164" fontId="8" fillId="0" borderId="0" xfId="0" applyNumberFormat="1" applyFont="1"/>
    <xf numFmtId="164" fontId="8" fillId="0" borderId="0" xfId="0" applyNumberFormat="1" applyFont="1" applyAlignment="1">
      <alignment vertical="center"/>
    </xf>
    <xf numFmtId="0" fontId="84" fillId="0" borderId="0" xfId="0" applyFont="1"/>
    <xf numFmtId="0" fontId="85" fillId="22" borderId="195" xfId="0" applyFont="1" applyFill="1" applyBorder="1" applyAlignment="1">
      <alignment wrapText="1" readingOrder="1"/>
    </xf>
    <xf numFmtId="0" fontId="85" fillId="22" borderId="197" xfId="0" applyFont="1" applyFill="1" applyBorder="1" applyAlignment="1">
      <alignment wrapText="1" readingOrder="1"/>
    </xf>
    <xf numFmtId="0" fontId="88" fillId="0" borderId="209" xfId="0" applyFont="1" applyBorder="1" applyAlignment="1">
      <alignment wrapText="1" readingOrder="1"/>
    </xf>
    <xf numFmtId="8" fontId="88" fillId="0" borderId="211" xfId="0" applyNumberFormat="1" applyFont="1" applyBorder="1" applyAlignment="1">
      <alignment wrapText="1" readingOrder="1"/>
    </xf>
    <xf numFmtId="0" fontId="88" fillId="0" borderId="212" xfId="0" applyFont="1" applyBorder="1" applyAlignment="1">
      <alignment wrapText="1" readingOrder="1"/>
    </xf>
    <xf numFmtId="8" fontId="88" fillId="0" borderId="212" xfId="0" applyNumberFormat="1" applyFont="1" applyBorder="1" applyAlignment="1">
      <alignment wrapText="1" readingOrder="1"/>
    </xf>
    <xf numFmtId="0" fontId="88" fillId="0" borderId="213" xfId="0" applyFont="1" applyBorder="1" applyAlignment="1">
      <alignment wrapText="1" readingOrder="1"/>
    </xf>
    <xf numFmtId="8" fontId="88" fillId="0" borderId="213" xfId="0" applyNumberFormat="1" applyFont="1" applyBorder="1" applyAlignment="1">
      <alignment wrapText="1" readingOrder="1"/>
    </xf>
    <xf numFmtId="0" fontId="90" fillId="0" borderId="212" xfId="0" applyFont="1" applyBorder="1" applyAlignment="1">
      <alignment wrapText="1" readingOrder="1"/>
    </xf>
    <xf numFmtId="8" fontId="90" fillId="0" borderId="212" xfId="0" applyNumberFormat="1" applyFont="1" applyBorder="1" applyAlignment="1">
      <alignment wrapText="1" readingOrder="1"/>
    </xf>
    <xf numFmtId="0" fontId="84" fillId="0" borderId="0" xfId="0" applyFont="1" applyAlignment="1">
      <alignment wrapText="1"/>
    </xf>
    <xf numFmtId="0" fontId="5" fillId="9" borderId="0" xfId="2" applyFill="1" applyAlignment="1">
      <alignment wrapText="1"/>
    </xf>
    <xf numFmtId="7" fontId="0" fillId="6" borderId="215" xfId="0" applyNumberFormat="1" applyFill="1" applyBorder="1"/>
    <xf numFmtId="0" fontId="61" fillId="0" borderId="0" xfId="0" applyFont="1" applyAlignment="1">
      <alignment wrapText="1" readingOrder="1"/>
    </xf>
    <xf numFmtId="0" fontId="11" fillId="0" borderId="0" xfId="0" applyFont="1" applyAlignment="1">
      <alignment vertical="center"/>
    </xf>
    <xf numFmtId="0" fontId="60" fillId="0" borderId="230" xfId="0" applyFont="1" applyBorder="1"/>
    <xf numFmtId="43" fontId="0" fillId="0" borderId="0" xfId="4" applyFont="1" applyFill="1" applyBorder="1"/>
    <xf numFmtId="8" fontId="60" fillId="0" borderId="230" xfId="0" applyNumberFormat="1" applyFont="1" applyBorder="1"/>
    <xf numFmtId="0" fontId="60" fillId="0" borderId="231" xfId="0" applyFont="1" applyBorder="1"/>
    <xf numFmtId="0" fontId="0" fillId="0" borderId="21" xfId="0" applyBorder="1"/>
    <xf numFmtId="0" fontId="0" fillId="0" borderId="61" xfId="0" applyBorder="1"/>
    <xf numFmtId="0" fontId="60" fillId="0" borderId="232" xfId="0" applyFont="1" applyBorder="1"/>
    <xf numFmtId="0" fontId="60" fillId="26" borderId="232" xfId="0" applyFont="1" applyFill="1" applyBorder="1"/>
    <xf numFmtId="8" fontId="8" fillId="0" borderId="0" xfId="0" applyNumberFormat="1" applyFont="1"/>
    <xf numFmtId="0" fontId="8" fillId="0" borderId="30" xfId="0" applyFont="1" applyBorder="1" applyAlignment="1">
      <alignment horizontal="left" wrapText="1"/>
    </xf>
    <xf numFmtId="14" fontId="3" fillId="0" borderId="0" xfId="0" applyNumberFormat="1" applyFont="1"/>
    <xf numFmtId="0" fontId="9" fillId="0" borderId="56" xfId="0" applyFont="1" applyBorder="1"/>
    <xf numFmtId="0" fontId="9" fillId="0" borderId="234" xfId="0" applyFont="1" applyBorder="1"/>
    <xf numFmtId="43" fontId="9" fillId="0" borderId="0" xfId="0" applyNumberFormat="1" applyFont="1"/>
    <xf numFmtId="0" fontId="5" fillId="0" borderId="5" xfId="0" applyFont="1" applyBorder="1"/>
    <xf numFmtId="0" fontId="5" fillId="0" borderId="47" xfId="0" applyFont="1" applyBorder="1"/>
    <xf numFmtId="0" fontId="5" fillId="27" borderId="47" xfId="0" applyFont="1" applyFill="1" applyBorder="1"/>
    <xf numFmtId="0" fontId="5" fillId="28" borderId="47" xfId="0" applyFont="1" applyFill="1" applyBorder="1"/>
    <xf numFmtId="0" fontId="91" fillId="0" borderId="47" xfId="0" applyFont="1" applyBorder="1" applyAlignment="1">
      <alignment wrapText="1"/>
    </xf>
    <xf numFmtId="0" fontId="1" fillId="0" borderId="61" xfId="0" applyFont="1" applyBorder="1"/>
    <xf numFmtId="0" fontId="5" fillId="13" borderId="61" xfId="0" applyFont="1" applyFill="1" applyBorder="1" applyAlignment="1">
      <alignment wrapText="1"/>
    </xf>
    <xf numFmtId="0" fontId="1" fillId="29" borderId="61" xfId="0" applyFont="1" applyFill="1" applyBorder="1"/>
    <xf numFmtId="0" fontId="1" fillId="29" borderId="47" xfId="0" applyFont="1" applyFill="1" applyBorder="1"/>
    <xf numFmtId="0" fontId="5" fillId="30" borderId="47" xfId="0" applyFont="1" applyFill="1" applyBorder="1"/>
    <xf numFmtId="0" fontId="5" fillId="0" borderId="123" xfId="0" applyFont="1" applyBorder="1"/>
    <xf numFmtId="0" fontId="5" fillId="0" borderId="15" xfId="0" applyFont="1" applyBorder="1"/>
    <xf numFmtId="0" fontId="5" fillId="0" borderId="40" xfId="0" applyFont="1" applyBorder="1"/>
    <xf numFmtId="0" fontId="5" fillId="0" borderId="61" xfId="0" applyFont="1" applyBorder="1"/>
    <xf numFmtId="0" fontId="5" fillId="21" borderId="61" xfId="0" applyFont="1" applyFill="1" applyBorder="1"/>
    <xf numFmtId="0" fontId="1" fillId="0" borderId="189" xfId="0" applyFont="1" applyBorder="1"/>
    <xf numFmtId="9" fontId="92" fillId="0" borderId="122" xfId="0" applyNumberFormat="1" applyFont="1" applyBorder="1"/>
    <xf numFmtId="9" fontId="92" fillId="0" borderId="179" xfId="0" applyNumberFormat="1" applyFont="1" applyBorder="1"/>
    <xf numFmtId="0" fontId="5" fillId="28" borderId="15" xfId="0" applyFont="1" applyFill="1" applyBorder="1"/>
    <xf numFmtId="0" fontId="1" fillId="0" borderId="40" xfId="0" applyFont="1" applyBorder="1"/>
    <xf numFmtId="0" fontId="1" fillId="0" borderId="40" xfId="0" applyFont="1" applyBorder="1" applyAlignment="1">
      <alignment wrapText="1"/>
    </xf>
    <xf numFmtId="6" fontId="1" fillId="0" borderId="40" xfId="0" applyNumberFormat="1" applyFont="1" applyBorder="1"/>
    <xf numFmtId="0" fontId="5" fillId="13" borderId="41" xfId="0" applyFont="1" applyFill="1" applyBorder="1" applyAlignment="1">
      <alignment wrapText="1"/>
    </xf>
    <xf numFmtId="0" fontId="5" fillId="29" borderId="40" xfId="0" applyFont="1" applyFill="1" applyBorder="1" applyAlignment="1">
      <alignment wrapText="1"/>
    </xf>
    <xf numFmtId="0" fontId="5" fillId="29" borderId="0" xfId="0" applyFont="1" applyFill="1" applyAlignment="1">
      <alignment wrapText="1"/>
    </xf>
    <xf numFmtId="0" fontId="5" fillId="29" borderId="232" xfId="0" applyFont="1" applyFill="1" applyBorder="1" applyAlignment="1">
      <alignment wrapText="1"/>
    </xf>
    <xf numFmtId="0" fontId="1" fillId="30" borderId="15" xfId="0" applyFont="1" applyFill="1" applyBorder="1" applyAlignment="1">
      <alignment wrapText="1"/>
    </xf>
    <xf numFmtId="0" fontId="14" fillId="0" borderId="12" xfId="0" applyFont="1" applyBorder="1" applyAlignment="1">
      <alignment horizontal="center" wrapText="1"/>
    </xf>
    <xf numFmtId="0" fontId="37" fillId="0" borderId="6" xfId="0" applyFont="1" applyBorder="1" applyAlignment="1">
      <alignment wrapText="1"/>
    </xf>
    <xf numFmtId="0" fontId="1" fillId="0" borderId="41" xfId="0" applyFont="1" applyBorder="1" applyAlignment="1">
      <alignment wrapText="1"/>
    </xf>
    <xf numFmtId="0" fontId="1" fillId="28" borderId="14" xfId="0" applyFont="1" applyFill="1" applyBorder="1" applyAlignment="1">
      <alignment wrapText="1"/>
    </xf>
    <xf numFmtId="0" fontId="1" fillId="0" borderId="179" xfId="0" applyFont="1" applyBorder="1" applyAlignment="1">
      <alignment wrapText="1"/>
    </xf>
    <xf numFmtId="10" fontId="92" fillId="0" borderId="189" xfId="0" applyNumberFormat="1" applyFont="1" applyBorder="1" applyAlignment="1">
      <alignment wrapText="1"/>
    </xf>
    <xf numFmtId="0" fontId="92" fillId="31" borderId="135" xfId="0" applyFont="1" applyFill="1" applyBorder="1" applyAlignment="1">
      <alignment wrapText="1"/>
    </xf>
    <xf numFmtId="10" fontId="92" fillId="0" borderId="135" xfId="0" applyNumberFormat="1" applyFont="1" applyBorder="1" applyAlignment="1">
      <alignment wrapText="1"/>
    </xf>
    <xf numFmtId="0" fontId="5" fillId="29" borderId="13" xfId="0" applyFont="1" applyFill="1" applyBorder="1" applyAlignment="1">
      <alignment wrapText="1"/>
    </xf>
    <xf numFmtId="0" fontId="5" fillId="29" borderId="235" xfId="0" applyFont="1" applyFill="1" applyBorder="1" applyAlignment="1">
      <alignment wrapText="1"/>
    </xf>
    <xf numFmtId="0" fontId="1" fillId="30" borderId="41" xfId="0" applyFont="1" applyFill="1" applyBorder="1" applyAlignment="1">
      <alignment wrapText="1"/>
    </xf>
    <xf numFmtId="0" fontId="5" fillId="0" borderId="41" xfId="0" applyFont="1" applyBorder="1" applyAlignment="1">
      <alignment wrapText="1"/>
    </xf>
    <xf numFmtId="0" fontId="5" fillId="0" borderId="14" xfId="0" applyFont="1" applyBorder="1" applyAlignment="1">
      <alignment wrapText="1"/>
    </xf>
    <xf numFmtId="0" fontId="5" fillId="0" borderId="6" xfId="0" applyFont="1" applyBorder="1" applyAlignment="1">
      <alignment wrapText="1"/>
    </xf>
    <xf numFmtId="0" fontId="1" fillId="0" borderId="14" xfId="0" applyFont="1" applyBorder="1" applyAlignment="1">
      <alignment wrapText="1"/>
    </xf>
    <xf numFmtId="0" fontId="93" fillId="0" borderId="12" xfId="0" applyFont="1" applyBorder="1" applyAlignment="1">
      <alignment horizontal="center" vertical="top" wrapText="1"/>
    </xf>
    <xf numFmtId="0" fontId="94" fillId="0" borderId="6" xfId="0" applyFont="1" applyBorder="1"/>
    <xf numFmtId="0" fontId="94" fillId="0" borderId="41" xfId="0" applyFont="1" applyBorder="1"/>
    <xf numFmtId="0" fontId="5" fillId="0" borderId="41" xfId="0" applyFont="1" applyBorder="1"/>
    <xf numFmtId="14" fontId="5" fillId="0" borderId="41" xfId="0" applyNumberFormat="1" applyFont="1" applyBorder="1"/>
    <xf numFmtId="0" fontId="95" fillId="0" borderId="41" xfId="0" applyFont="1" applyBorder="1"/>
    <xf numFmtId="4" fontId="95" fillId="0" borderId="61" xfId="0" applyNumberFormat="1" applyFont="1" applyBorder="1"/>
    <xf numFmtId="0" fontId="95" fillId="0" borderId="61" xfId="0" applyFont="1" applyBorder="1"/>
    <xf numFmtId="1" fontId="95" fillId="0" borderId="61" xfId="0" applyNumberFormat="1" applyFont="1" applyBorder="1"/>
    <xf numFmtId="8" fontId="95" fillId="0" borderId="41" xfId="0" applyNumberFormat="1" applyFont="1" applyBorder="1"/>
    <xf numFmtId="3" fontId="5" fillId="0" borderId="61" xfId="0" applyNumberFormat="1" applyFont="1" applyBorder="1"/>
    <xf numFmtId="3" fontId="5" fillId="0" borderId="41" xfId="0" applyNumberFormat="1" applyFont="1" applyBorder="1"/>
    <xf numFmtId="4" fontId="5" fillId="0" borderId="61" xfId="0" applyNumberFormat="1" applyFont="1" applyBorder="1"/>
    <xf numFmtId="9" fontId="95" fillId="0" borderId="41" xfId="0" applyNumberFormat="1" applyFont="1" applyBorder="1"/>
    <xf numFmtId="0" fontId="8" fillId="32" borderId="22" xfId="0" applyFont="1" applyFill="1" applyBorder="1"/>
    <xf numFmtId="0" fontId="8" fillId="32" borderId="30" xfId="0" applyFont="1" applyFill="1" applyBorder="1"/>
    <xf numFmtId="3" fontId="8" fillId="32" borderId="12" xfId="0" applyNumberFormat="1" applyFont="1" applyFill="1" applyBorder="1"/>
    <xf numFmtId="165" fontId="8" fillId="32" borderId="12" xfId="0" applyNumberFormat="1" applyFont="1" applyFill="1" applyBorder="1"/>
    <xf numFmtId="165" fontId="8" fillId="33" borderId="12" xfId="0" applyNumberFormat="1" applyFont="1" applyFill="1" applyBorder="1"/>
    <xf numFmtId="165" fontId="8" fillId="33" borderId="110" xfId="0" applyNumberFormat="1" applyFont="1" applyFill="1" applyBorder="1"/>
    <xf numFmtId="10" fontId="8" fillId="33" borderId="99" xfId="3" applyNumberFormat="1" applyFont="1" applyFill="1" applyBorder="1"/>
    <xf numFmtId="14" fontId="5" fillId="0" borderId="61" xfId="0" applyNumberFormat="1" applyFont="1" applyBorder="1"/>
    <xf numFmtId="0" fontId="3" fillId="0" borderId="6" xfId="0" applyFont="1" applyBorder="1"/>
    <xf numFmtId="0" fontId="3" fillId="0" borderId="41" xfId="0" applyFont="1" applyBorder="1"/>
    <xf numFmtId="14" fontId="95" fillId="0" borderId="41" xfId="0" applyNumberFormat="1" applyFont="1" applyBorder="1"/>
    <xf numFmtId="9" fontId="95" fillId="34" borderId="41" xfId="0" applyNumberFormat="1" applyFont="1" applyFill="1" applyBorder="1"/>
    <xf numFmtId="0" fontId="5" fillId="21" borderId="41" xfId="0" applyFont="1" applyFill="1" applyBorder="1"/>
    <xf numFmtId="0" fontId="95" fillId="0" borderId="0" xfId="0" applyFont="1"/>
    <xf numFmtId="0" fontId="96" fillId="0" borderId="0" xfId="0" applyFont="1"/>
    <xf numFmtId="0" fontId="65" fillId="0" borderId="41" xfId="0" applyFont="1" applyBorder="1"/>
    <xf numFmtId="9" fontId="65" fillId="0" borderId="41" xfId="0" applyNumberFormat="1" applyFont="1" applyBorder="1"/>
    <xf numFmtId="0" fontId="94" fillId="0" borderId="8" xfId="0" applyFont="1" applyBorder="1"/>
    <xf numFmtId="0" fontId="94" fillId="0" borderId="61" xfId="0" applyFont="1" applyBorder="1"/>
    <xf numFmtId="9" fontId="95" fillId="0" borderId="61" xfId="0" applyNumberFormat="1" applyFont="1" applyBorder="1"/>
    <xf numFmtId="0" fontId="0" fillId="0" borderId="41" xfId="0" applyBorder="1"/>
    <xf numFmtId="14" fontId="0" fillId="0" borderId="41" xfId="0" applyNumberFormat="1" applyBorder="1"/>
    <xf numFmtId="0" fontId="3" fillId="0" borderId="15" xfId="0" applyFont="1" applyBorder="1"/>
    <xf numFmtId="0" fontId="3" fillId="0" borderId="40" xfId="0" applyFont="1" applyBorder="1"/>
    <xf numFmtId="9" fontId="95" fillId="0" borderId="40" xfId="0" applyNumberFormat="1" applyFont="1" applyBorder="1"/>
    <xf numFmtId="167" fontId="95" fillId="0" borderId="41" xfId="0" applyNumberFormat="1" applyFont="1" applyBorder="1"/>
    <xf numFmtId="0" fontId="95" fillId="0" borderId="6" xfId="0" applyFont="1" applyBorder="1"/>
    <xf numFmtId="14" fontId="5" fillId="0" borderId="0" xfId="0" applyNumberFormat="1" applyFont="1"/>
    <xf numFmtId="14" fontId="65" fillId="0" borderId="41" xfId="0" applyNumberFormat="1" applyFont="1" applyBorder="1"/>
    <xf numFmtId="9" fontId="95" fillId="0" borderId="0" xfId="0" applyNumberFormat="1" applyFont="1"/>
    <xf numFmtId="0" fontId="8" fillId="0" borderId="61" xfId="0" applyFont="1" applyBorder="1"/>
    <xf numFmtId="9" fontId="95" fillId="0" borderId="6" xfId="0" applyNumberFormat="1" applyFont="1" applyBorder="1"/>
    <xf numFmtId="0" fontId="94" fillId="0" borderId="15" xfId="0" applyFont="1" applyBorder="1"/>
    <xf numFmtId="0" fontId="94" fillId="0" borderId="40" xfId="0" applyFont="1" applyBorder="1"/>
    <xf numFmtId="8" fontId="95" fillId="0" borderId="8" xfId="0" applyNumberFormat="1" applyFont="1" applyBorder="1"/>
    <xf numFmtId="3" fontId="5" fillId="0" borderId="8" xfId="0" applyNumberFormat="1" applyFont="1" applyBorder="1"/>
    <xf numFmtId="4" fontId="5" fillId="0" borderId="8" xfId="0" applyNumberFormat="1" applyFont="1" applyBorder="1"/>
    <xf numFmtId="0" fontId="94" fillId="0" borderId="231" xfId="0" applyFont="1" applyBorder="1"/>
    <xf numFmtId="0" fontId="95" fillId="0" borderId="40" xfId="0" applyFont="1" applyBorder="1"/>
    <xf numFmtId="4" fontId="95" fillId="0" borderId="47" xfId="0" applyNumberFormat="1" applyFont="1" applyBorder="1"/>
    <xf numFmtId="0" fontId="95" fillId="0" borderId="47" xfId="0" applyFont="1" applyBorder="1"/>
    <xf numFmtId="1" fontId="95" fillId="0" borderId="47" xfId="0" applyNumberFormat="1" applyFont="1" applyBorder="1"/>
    <xf numFmtId="3" fontId="0" fillId="0" borderId="61" xfId="0" applyNumberFormat="1" applyBorder="1"/>
    <xf numFmtId="3" fontId="0" fillId="0" borderId="41" xfId="0" applyNumberFormat="1" applyBorder="1"/>
    <xf numFmtId="4" fontId="0" fillId="0" borderId="61" xfId="0" applyNumberFormat="1" applyBorder="1"/>
    <xf numFmtId="9" fontId="95" fillId="0" borderId="15" xfId="0" applyNumberFormat="1" applyFont="1" applyBorder="1"/>
    <xf numFmtId="0" fontId="95" fillId="0" borderId="8" xfId="0" applyFont="1" applyBorder="1"/>
    <xf numFmtId="4" fontId="95" fillId="0" borderId="8" xfId="0" applyNumberFormat="1" applyFont="1" applyBorder="1"/>
    <xf numFmtId="1" fontId="95" fillId="0" borderId="8" xfId="0" applyNumberFormat="1" applyFont="1" applyBorder="1"/>
    <xf numFmtId="8" fontId="5" fillId="0" borderId="8" xfId="0" applyNumberFormat="1" applyFont="1" applyBorder="1"/>
    <xf numFmtId="9" fontId="95" fillId="0" borderId="8" xfId="0" applyNumberFormat="1" applyFont="1" applyBorder="1"/>
    <xf numFmtId="0" fontId="8" fillId="0" borderId="8" xfId="0" applyFont="1" applyBorder="1"/>
    <xf numFmtId="4" fontId="8" fillId="0" borderId="0" xfId="0" applyNumberFormat="1" applyFont="1"/>
    <xf numFmtId="0" fontId="8" fillId="35" borderId="30" xfId="0" applyFont="1" applyFill="1" applyBorder="1"/>
    <xf numFmtId="3" fontId="8" fillId="35" borderId="12" xfId="0" applyNumberFormat="1" applyFont="1" applyFill="1" applyBorder="1"/>
    <xf numFmtId="0" fontId="14" fillId="35" borderId="30" xfId="0" applyFont="1" applyFill="1" applyBorder="1" applyAlignment="1">
      <alignment wrapText="1"/>
    </xf>
    <xf numFmtId="0" fontId="9" fillId="35" borderId="12" xfId="0" applyFont="1" applyFill="1" applyBorder="1"/>
    <xf numFmtId="9" fontId="8" fillId="33" borderId="99" xfId="3" applyFont="1" applyFill="1" applyBorder="1"/>
    <xf numFmtId="0" fontId="14" fillId="35" borderId="53" xfId="0" applyFont="1" applyFill="1" applyBorder="1" applyAlignment="1">
      <alignment wrapText="1"/>
    </xf>
    <xf numFmtId="3" fontId="8" fillId="33" borderId="60" xfId="0" applyNumberFormat="1" applyFont="1" applyFill="1" applyBorder="1"/>
    <xf numFmtId="0" fontId="52" fillId="0" borderId="24" xfId="0" applyFont="1" applyBorder="1" applyAlignment="1">
      <alignment horizontal="center" wrapText="1"/>
    </xf>
    <xf numFmtId="0" fontId="97" fillId="0" borderId="54" xfId="0" applyFont="1" applyBorder="1" applyAlignment="1">
      <alignment horizontal="center" vertical="top" wrapText="1"/>
    </xf>
    <xf numFmtId="0" fontId="8" fillId="0" borderId="56" xfId="0" applyFont="1" applyBorder="1" applyAlignment="1">
      <alignment horizontal="left" wrapText="1"/>
    </xf>
    <xf numFmtId="165" fontId="8" fillId="32" borderId="54" xfId="0" applyNumberFormat="1" applyFont="1" applyFill="1" applyBorder="1"/>
    <xf numFmtId="165" fontId="8" fillId="32" borderId="98" xfId="0" applyNumberFormat="1" applyFont="1" applyFill="1" applyBorder="1"/>
    <xf numFmtId="9" fontId="8" fillId="32" borderId="97" xfId="3" applyFont="1" applyFill="1" applyBorder="1"/>
    <xf numFmtId="165" fontId="8" fillId="33" borderId="100" xfId="0" applyNumberFormat="1" applyFont="1" applyFill="1" applyBorder="1"/>
    <xf numFmtId="9" fontId="8" fillId="33" borderId="97" xfId="3" applyFont="1" applyFill="1" applyBorder="1"/>
    <xf numFmtId="165" fontId="8" fillId="33" borderId="103" xfId="0" applyNumberFormat="1" applyFont="1" applyFill="1" applyBorder="1"/>
    <xf numFmtId="165" fontId="8" fillId="33" borderId="104" xfId="0" applyNumberFormat="1" applyFont="1" applyFill="1" applyBorder="1"/>
    <xf numFmtId="9" fontId="8" fillId="33" borderId="107" xfId="3" applyFont="1" applyFill="1" applyBorder="1"/>
    <xf numFmtId="0" fontId="8" fillId="0" borderId="143" xfId="0" applyFont="1" applyBorder="1"/>
    <xf numFmtId="0" fontId="8" fillId="0" borderId="236" xfId="0" applyFont="1" applyBorder="1"/>
    <xf numFmtId="0" fontId="14" fillId="0" borderId="237" xfId="0" applyFont="1" applyBorder="1" applyAlignment="1">
      <alignment horizontal="center"/>
    </xf>
    <xf numFmtId="0" fontId="14" fillId="0" borderId="238" xfId="0" applyFont="1" applyBorder="1" applyAlignment="1">
      <alignment horizontal="center"/>
    </xf>
    <xf numFmtId="0" fontId="14" fillId="0" borderId="237" xfId="0" applyFont="1" applyBorder="1" applyAlignment="1">
      <alignment horizontal="center" wrapText="1"/>
    </xf>
    <xf numFmtId="0" fontId="14" fillId="0" borderId="238" xfId="0" applyFont="1" applyBorder="1" applyAlignment="1">
      <alignment horizontal="center" wrapText="1"/>
    </xf>
    <xf numFmtId="0" fontId="23" fillId="0" borderId="237" xfId="0" applyFont="1" applyBorder="1" applyAlignment="1">
      <alignment horizontal="center" wrapText="1"/>
    </xf>
    <xf numFmtId="0" fontId="14" fillId="0" borderId="239" xfId="0" applyFont="1" applyBorder="1" applyAlignment="1">
      <alignment horizontal="center"/>
    </xf>
    <xf numFmtId="0" fontId="14" fillId="0" borderId="240" xfId="0" applyFont="1" applyBorder="1" applyAlignment="1">
      <alignment horizontal="center"/>
    </xf>
    <xf numFmtId="0" fontId="8" fillId="0" borderId="241" xfId="0" applyFont="1" applyBorder="1" applyAlignment="1">
      <alignment wrapText="1"/>
    </xf>
    <xf numFmtId="0" fontId="8" fillId="0" borderId="242" xfId="0" applyFont="1" applyBorder="1" applyAlignment="1">
      <alignment wrapText="1"/>
    </xf>
    <xf numFmtId="0" fontId="8" fillId="0" borderId="243" xfId="0" applyFont="1" applyBorder="1" applyAlignment="1">
      <alignment wrapText="1"/>
    </xf>
    <xf numFmtId="0" fontId="14" fillId="0" borderId="243" xfId="0" applyFont="1" applyBorder="1" applyAlignment="1">
      <alignment wrapText="1"/>
    </xf>
    <xf numFmtId="0" fontId="14" fillId="0" borderId="244" xfId="0" applyFont="1" applyBorder="1" applyAlignment="1">
      <alignment wrapText="1"/>
    </xf>
    <xf numFmtId="0" fontId="14" fillId="0" borderId="245" xfId="0" applyFont="1" applyBorder="1" applyAlignment="1">
      <alignment wrapText="1"/>
    </xf>
    <xf numFmtId="165" fontId="8" fillId="33" borderId="246" xfId="0" applyNumberFormat="1" applyFont="1" applyFill="1" applyBorder="1"/>
    <xf numFmtId="165" fontId="8" fillId="33" borderId="247" xfId="0" applyNumberFormat="1" applyFont="1" applyFill="1" applyBorder="1"/>
    <xf numFmtId="9" fontId="8" fillId="33" borderId="248" xfId="3" applyFont="1" applyFill="1" applyBorder="1"/>
    <xf numFmtId="0" fontId="8" fillId="0" borderId="241" xfId="0" applyFont="1" applyBorder="1"/>
    <xf numFmtId="0" fontId="8" fillId="0" borderId="242" xfId="0" applyFont="1" applyBorder="1"/>
    <xf numFmtId="0" fontId="8" fillId="0" borderId="55" xfId="0" applyFont="1" applyBorder="1"/>
    <xf numFmtId="165" fontId="8" fillId="33" borderId="54" xfId="0" applyNumberFormat="1" applyFont="1" applyFill="1" applyBorder="1"/>
    <xf numFmtId="165" fontId="8" fillId="33" borderId="98" xfId="0" applyNumberFormat="1" applyFont="1" applyFill="1" applyBorder="1"/>
    <xf numFmtId="168" fontId="8" fillId="33" borderId="97" xfId="3" applyNumberFormat="1" applyFont="1" applyFill="1" applyBorder="1"/>
    <xf numFmtId="0" fontId="14" fillId="0" borderId="249" xfId="0" applyFont="1" applyBorder="1" applyAlignment="1">
      <alignment wrapText="1"/>
    </xf>
    <xf numFmtId="168" fontId="8" fillId="33" borderId="250" xfId="3" applyNumberFormat="1" applyFont="1" applyFill="1" applyBorder="1"/>
    <xf numFmtId="0" fontId="8" fillId="0" borderId="243" xfId="0" applyFont="1" applyBorder="1" applyAlignment="1">
      <alignment horizontal="left" wrapText="1"/>
    </xf>
    <xf numFmtId="0" fontId="8" fillId="0" borderId="0" xfId="0" applyFont="1" applyAlignment="1">
      <alignment horizontal="right"/>
    </xf>
    <xf numFmtId="165" fontId="8" fillId="32" borderId="128" xfId="0" applyNumberFormat="1" applyFont="1" applyFill="1" applyBorder="1"/>
    <xf numFmtId="165" fontId="8" fillId="32" borderId="251" xfId="0" applyNumberFormat="1" applyFont="1" applyFill="1" applyBorder="1"/>
    <xf numFmtId="165" fontId="8" fillId="33" borderId="252" xfId="0" applyNumberFormat="1" applyFont="1" applyFill="1" applyBorder="1"/>
    <xf numFmtId="9" fontId="8" fillId="33" borderId="250" xfId="3" applyFont="1" applyFill="1" applyBorder="1"/>
    <xf numFmtId="165" fontId="98" fillId="33" borderId="54" xfId="0" applyNumberFormat="1" applyFont="1" applyFill="1" applyBorder="1"/>
    <xf numFmtId="165" fontId="98" fillId="33" borderId="98" xfId="0" applyNumberFormat="1" applyFont="1" applyFill="1" applyBorder="1"/>
    <xf numFmtId="9" fontId="98" fillId="33" borderId="97" xfId="3" applyFont="1" applyFill="1" applyBorder="1"/>
    <xf numFmtId="0" fontId="8" fillId="0" borderId="243" xfId="0" applyFont="1" applyBorder="1"/>
    <xf numFmtId="0" fontId="8" fillId="0" borderId="56" xfId="0" applyFont="1" applyBorder="1"/>
    <xf numFmtId="165" fontId="98" fillId="33" borderId="246" xfId="0" applyNumberFormat="1" applyFont="1" applyFill="1" applyBorder="1"/>
    <xf numFmtId="165" fontId="98" fillId="33" borderId="247" xfId="0" applyNumberFormat="1" applyFont="1" applyFill="1" applyBorder="1"/>
    <xf numFmtId="9" fontId="98" fillId="33" borderId="250" xfId="3" applyFont="1" applyFill="1" applyBorder="1"/>
    <xf numFmtId="0" fontId="14" fillId="0" borderId="253" xfId="0" applyFont="1" applyBorder="1" applyAlignment="1">
      <alignment horizontal="center"/>
    </xf>
    <xf numFmtId="0" fontId="8" fillId="0" borderId="243" xfId="0" applyFont="1" applyBorder="1" applyAlignment="1">
      <alignment horizontal="left" vertical="center" wrapText="1"/>
    </xf>
    <xf numFmtId="0" fontId="8" fillId="0" borderId="56" xfId="0" applyFont="1" applyBorder="1" applyAlignment="1">
      <alignment horizontal="left" vertical="center" wrapText="1"/>
    </xf>
    <xf numFmtId="165" fontId="8" fillId="33" borderId="112" xfId="0" applyNumberFormat="1" applyFont="1" applyFill="1" applyBorder="1"/>
    <xf numFmtId="0" fontId="8" fillId="32" borderId="243" xfId="0" applyFont="1" applyFill="1" applyBorder="1" applyAlignment="1">
      <alignment vertical="center" wrapText="1"/>
    </xf>
    <xf numFmtId="0" fontId="8" fillId="32" borderId="56" xfId="0" applyFont="1" applyFill="1" applyBorder="1" applyAlignment="1">
      <alignment vertical="center" wrapText="1"/>
    </xf>
    <xf numFmtId="0" fontId="8" fillId="32" borderId="30" xfId="0" applyFont="1" applyFill="1" applyBorder="1" applyAlignment="1">
      <alignment vertical="center" wrapText="1"/>
    </xf>
    <xf numFmtId="0" fontId="8" fillId="32" borderId="242" xfId="0" applyFont="1" applyFill="1" applyBorder="1" applyAlignment="1">
      <alignment vertical="center" wrapText="1"/>
    </xf>
    <xf numFmtId="0" fontId="8" fillId="32" borderId="55" xfId="0" applyFont="1" applyFill="1" applyBorder="1" applyAlignment="1">
      <alignment vertical="center" wrapText="1"/>
    </xf>
    <xf numFmtId="0" fontId="8" fillId="32" borderId="57" xfId="0" applyFont="1" applyFill="1" applyBorder="1" applyAlignment="1">
      <alignment vertical="center" wrapText="1"/>
    </xf>
    <xf numFmtId="0" fontId="8" fillId="0" borderId="254" xfId="0" applyFont="1" applyBorder="1" applyAlignment="1">
      <alignment wrapText="1"/>
    </xf>
    <xf numFmtId="0" fontId="14" fillId="0" borderId="255" xfId="0" applyFont="1" applyBorder="1" applyAlignment="1">
      <alignment wrapText="1"/>
    </xf>
    <xf numFmtId="0" fontId="14" fillId="0" borderId="256" xfId="0" applyFont="1" applyBorder="1" applyAlignment="1">
      <alignment wrapText="1"/>
    </xf>
    <xf numFmtId="165" fontId="8" fillId="33" borderId="128" xfId="0" applyNumberFormat="1" applyFont="1" applyFill="1" applyBorder="1"/>
    <xf numFmtId="165" fontId="8" fillId="33" borderId="257" xfId="0" applyNumberFormat="1" applyFont="1" applyFill="1" applyBorder="1"/>
    <xf numFmtId="0" fontId="8" fillId="0" borderId="258" xfId="0" applyFont="1" applyBorder="1"/>
    <xf numFmtId="0" fontId="14" fillId="0" borderId="244" xfId="0" applyFont="1" applyBorder="1"/>
    <xf numFmtId="0" fontId="14" fillId="0" borderId="245" xfId="0" applyFont="1" applyBorder="1"/>
    <xf numFmtId="0" fontId="14" fillId="0" borderId="249" xfId="0" applyFont="1" applyBorder="1"/>
    <xf numFmtId="165" fontId="8" fillId="33" borderId="246" xfId="0" applyNumberFormat="1" applyFont="1" applyFill="1" applyBorder="1" applyAlignment="1">
      <alignment vertical="center"/>
    </xf>
    <xf numFmtId="165" fontId="8" fillId="33" borderId="247" xfId="0" applyNumberFormat="1" applyFont="1" applyFill="1" applyBorder="1" applyAlignment="1">
      <alignment vertical="center"/>
    </xf>
    <xf numFmtId="165" fontId="0" fillId="0" borderId="0" xfId="0" applyNumberFormat="1"/>
    <xf numFmtId="169" fontId="0" fillId="0" borderId="0" xfId="0" applyNumberFormat="1"/>
    <xf numFmtId="0" fontId="14" fillId="0" borderId="259" xfId="0" applyFont="1" applyBorder="1"/>
    <xf numFmtId="0" fontId="14" fillId="0" borderId="260" xfId="0" applyFont="1" applyBorder="1"/>
    <xf numFmtId="0" fontId="14" fillId="0" borderId="261" xfId="0" applyFont="1" applyBorder="1"/>
    <xf numFmtId="165" fontId="8" fillId="33" borderId="238" xfId="0" applyNumberFormat="1" applyFont="1" applyFill="1" applyBorder="1"/>
    <xf numFmtId="165" fontId="8" fillId="33" borderId="262" xfId="0" applyNumberFormat="1" applyFont="1" applyFill="1" applyBorder="1"/>
    <xf numFmtId="0" fontId="14" fillId="0" borderId="243" xfId="0" applyFont="1" applyBorder="1"/>
    <xf numFmtId="0" fontId="14" fillId="0" borderId="56" xfId="0" applyFont="1" applyBorder="1"/>
    <xf numFmtId="165" fontId="8" fillId="33" borderId="263" xfId="0" applyNumberFormat="1" applyFont="1" applyFill="1" applyBorder="1"/>
    <xf numFmtId="0" fontId="8" fillId="33" borderId="12" xfId="0" applyFont="1" applyFill="1" applyBorder="1"/>
    <xf numFmtId="10" fontId="8" fillId="33" borderId="12" xfId="0" applyNumberFormat="1" applyFont="1" applyFill="1" applyBorder="1"/>
    <xf numFmtId="10" fontId="8" fillId="33" borderId="263" xfId="0" applyNumberFormat="1" applyFont="1" applyFill="1" applyBorder="1"/>
    <xf numFmtId="0" fontId="14" fillId="0" borderId="144" xfId="0" applyFont="1" applyBorder="1"/>
    <xf numFmtId="0" fontId="14" fillId="0" borderId="145" xfId="0" applyFont="1" applyBorder="1"/>
    <xf numFmtId="0" fontId="14" fillId="0" borderId="264" xfId="0" applyFont="1" applyBorder="1"/>
    <xf numFmtId="0" fontId="8" fillId="1" borderId="246" xfId="0" applyFont="1" applyFill="1" applyBorder="1"/>
    <xf numFmtId="0" fontId="8" fillId="1" borderId="265" xfId="0" applyFont="1" applyFill="1" applyBorder="1"/>
    <xf numFmtId="14" fontId="5" fillId="0" borderId="41" xfId="0" applyNumberFormat="1" applyFont="1" applyBorder="1" applyAlignment="1">
      <alignment wrapText="1"/>
    </xf>
    <xf numFmtId="0" fontId="99" fillId="0" borderId="0" xfId="0" applyFont="1" applyAlignment="1">
      <alignment wrapText="1"/>
    </xf>
    <xf numFmtId="0" fontId="0" fillId="32" borderId="22" xfId="0" applyFill="1" applyBorder="1" applyAlignment="1">
      <alignment horizontal="left" vertical="center" wrapText="1"/>
    </xf>
    <xf numFmtId="0" fontId="8" fillId="32" borderId="57" xfId="0" applyFont="1" applyFill="1" applyBorder="1" applyAlignment="1">
      <alignment horizontal="center" vertical="center"/>
    </xf>
    <xf numFmtId="167" fontId="8" fillId="32" borderId="12" xfId="0" applyNumberFormat="1" applyFont="1" applyFill="1" applyBorder="1" applyAlignment="1">
      <alignment horizontal="right" vertical="top" wrapText="1"/>
    </xf>
    <xf numFmtId="0" fontId="0" fillId="0" borderId="40" xfId="0" applyBorder="1"/>
    <xf numFmtId="0" fontId="0" fillId="0" borderId="47" xfId="0" applyBorder="1"/>
    <xf numFmtId="0" fontId="85" fillId="22" borderId="195" xfId="0" applyFont="1" applyFill="1" applyBorder="1" applyAlignment="1">
      <alignment vertical="top" wrapText="1" readingOrder="1"/>
    </xf>
    <xf numFmtId="0" fontId="87" fillId="24" borderId="267" xfId="0" applyFont="1" applyFill="1" applyBorder="1" applyAlignment="1">
      <alignment vertical="top" wrapText="1" readingOrder="1"/>
    </xf>
    <xf numFmtId="170" fontId="88" fillId="0" borderId="209" xfId="0" applyNumberFormat="1" applyFont="1" applyBorder="1" applyAlignment="1">
      <alignment vertical="top" wrapText="1" readingOrder="1"/>
    </xf>
    <xf numFmtId="0" fontId="88" fillId="0" borderId="209" xfId="0" applyFont="1" applyBorder="1" applyAlignment="1">
      <alignment vertical="top" wrapText="1" readingOrder="1"/>
    </xf>
    <xf numFmtId="0" fontId="89" fillId="24" borderId="267" xfId="0" applyFont="1" applyFill="1" applyBorder="1" applyAlignment="1">
      <alignment vertical="top" wrapText="1" readingOrder="1"/>
    </xf>
    <xf numFmtId="170" fontId="90" fillId="0" borderId="209" xfId="0" applyNumberFormat="1" applyFont="1" applyBorder="1" applyAlignment="1">
      <alignment vertical="top" wrapText="1" readingOrder="1"/>
    </xf>
    <xf numFmtId="0" fontId="89" fillId="24" borderId="267" xfId="0" applyFont="1" applyFill="1" applyBorder="1" applyAlignment="1">
      <alignment horizontal="left" vertical="top" wrapText="1" readingOrder="1"/>
    </xf>
    <xf numFmtId="0" fontId="94" fillId="0" borderId="0" xfId="0" applyFont="1"/>
    <xf numFmtId="14" fontId="0" fillId="0" borderId="40" xfId="0" applyNumberFormat="1" applyBorder="1"/>
    <xf numFmtId="167" fontId="95" fillId="0" borderId="0" xfId="0" applyNumberFormat="1" applyFont="1"/>
    <xf numFmtId="8" fontId="5" fillId="0" borderId="61" xfId="0" applyNumberFormat="1" applyFont="1" applyBorder="1"/>
    <xf numFmtId="8" fontId="5" fillId="0" borderId="41" xfId="0" applyNumberFormat="1" applyFont="1" applyBorder="1"/>
    <xf numFmtId="8" fontId="5" fillId="0" borderId="0" xfId="0" applyNumberFormat="1" applyFont="1"/>
    <xf numFmtId="8" fontId="0" fillId="0" borderId="61" xfId="0" applyNumberFormat="1" applyBorder="1"/>
    <xf numFmtId="8" fontId="0" fillId="0" borderId="47" xfId="0" applyNumberFormat="1" applyBorder="1"/>
    <xf numFmtId="8" fontId="5" fillId="0" borderId="47" xfId="0" applyNumberFormat="1" applyFont="1" applyBorder="1"/>
    <xf numFmtId="7" fontId="5" fillId="9" borderId="0" xfId="2" applyNumberFormat="1" applyFill="1"/>
    <xf numFmtId="0" fontId="2" fillId="0" borderId="4" xfId="0" applyFont="1" applyBorder="1"/>
    <xf numFmtId="0" fontId="2" fillId="0" borderId="18" xfId="0" applyFont="1" applyBorder="1"/>
    <xf numFmtId="0" fontId="2" fillId="0" borderId="61" xfId="0" applyFont="1" applyBorder="1"/>
    <xf numFmtId="0" fontId="2" fillId="13" borderId="91" xfId="0" applyFont="1" applyFill="1" applyBorder="1" applyAlignment="1">
      <alignment horizontal="left"/>
    </xf>
    <xf numFmtId="0" fontId="0" fillId="36" borderId="8" xfId="0" applyFill="1" applyBorder="1"/>
    <xf numFmtId="0" fontId="60" fillId="36" borderId="230" xfId="0" applyFont="1" applyFill="1" applyBorder="1"/>
    <xf numFmtId="43" fontId="0" fillId="36" borderId="8" xfId="4" applyFont="1" applyFill="1" applyBorder="1"/>
    <xf numFmtId="0" fontId="8" fillId="0" borderId="18" xfId="0" applyFont="1" applyBorder="1" applyAlignment="1">
      <alignment horizontal="left" wrapText="1"/>
    </xf>
    <xf numFmtId="14" fontId="8" fillId="0" borderId="12" xfId="2" applyNumberFormat="1" applyFont="1" applyBorder="1" applyAlignment="1">
      <alignment wrapText="1"/>
    </xf>
    <xf numFmtId="14" fontId="8" fillId="0" borderId="60" xfId="2" applyNumberFormat="1" applyFont="1" applyBorder="1" applyAlignment="1">
      <alignment wrapText="1"/>
    </xf>
    <xf numFmtId="1" fontId="8" fillId="0" borderId="0" xfId="0" applyNumberFormat="1" applyFont="1"/>
    <xf numFmtId="171" fontId="9" fillId="7" borderId="8" xfId="0" applyNumberFormat="1" applyFont="1" applyFill="1" applyBorder="1" applyAlignment="1">
      <alignment wrapText="1"/>
    </xf>
    <xf numFmtId="0" fontId="100" fillId="0" borderId="75" xfId="0" applyFont="1" applyBorder="1"/>
    <xf numFmtId="0" fontId="5" fillId="0" borderId="190" xfId="0" applyFont="1" applyBorder="1"/>
    <xf numFmtId="0" fontId="5" fillId="37" borderId="14" xfId="0" applyFont="1" applyFill="1" applyBorder="1"/>
    <xf numFmtId="0" fontId="5" fillId="38" borderId="269" xfId="0" applyFont="1" applyFill="1" applyBorder="1"/>
    <xf numFmtId="0" fontId="5" fillId="38" borderId="14" xfId="0" applyFont="1" applyFill="1" applyBorder="1"/>
    <xf numFmtId="0" fontId="5" fillId="38" borderId="75" xfId="0" applyFont="1" applyFill="1" applyBorder="1"/>
    <xf numFmtId="0" fontId="5" fillId="38" borderId="270" xfId="0" applyFont="1" applyFill="1" applyBorder="1"/>
    <xf numFmtId="0" fontId="5" fillId="39" borderId="269" xfId="0" applyFont="1" applyFill="1" applyBorder="1"/>
    <xf numFmtId="0" fontId="5" fillId="39" borderId="14" xfId="0" applyFont="1" applyFill="1" applyBorder="1"/>
    <xf numFmtId="0" fontId="59" fillId="39" borderId="14" xfId="0" applyFont="1" applyFill="1" applyBorder="1"/>
    <xf numFmtId="0" fontId="5" fillId="39" borderId="190" xfId="0" applyFont="1" applyFill="1" applyBorder="1"/>
    <xf numFmtId="0" fontId="5" fillId="38" borderId="142" xfId="0" applyFont="1" applyFill="1" applyBorder="1"/>
    <xf numFmtId="0" fontId="5" fillId="0" borderId="191" xfId="0" applyFont="1" applyBorder="1"/>
    <xf numFmtId="0" fontId="5" fillId="37" borderId="18" xfId="0" applyFont="1" applyFill="1" applyBorder="1"/>
    <xf numFmtId="0" fontId="5" fillId="38" borderId="271" xfId="0" applyFont="1" applyFill="1" applyBorder="1"/>
    <xf numFmtId="0" fontId="5" fillId="38" borderId="18" xfId="0" applyFont="1" applyFill="1" applyBorder="1"/>
    <xf numFmtId="0" fontId="5" fillId="38" borderId="74" xfId="0" applyFont="1" applyFill="1" applyBorder="1"/>
    <xf numFmtId="0" fontId="5" fillId="38" borderId="272" xfId="0" applyFont="1" applyFill="1" applyBorder="1"/>
    <xf numFmtId="0" fontId="5" fillId="39" borderId="271" xfId="0" applyFont="1" applyFill="1" applyBorder="1"/>
    <xf numFmtId="0" fontId="5" fillId="39" borderId="18" xfId="0" applyFont="1" applyFill="1" applyBorder="1"/>
    <xf numFmtId="0" fontId="5" fillId="39" borderId="191" xfId="0" applyFont="1" applyFill="1" applyBorder="1"/>
    <xf numFmtId="0" fontId="5" fillId="37" borderId="0" xfId="0" applyFont="1" applyFill="1"/>
    <xf numFmtId="0" fontId="5" fillId="38" borderId="0" xfId="0" applyFont="1" applyFill="1"/>
    <xf numFmtId="0" fontId="5" fillId="38" borderId="78" xfId="0" applyFont="1" applyFill="1" applyBorder="1"/>
    <xf numFmtId="0" fontId="5" fillId="39" borderId="142" xfId="0" applyFont="1" applyFill="1" applyBorder="1"/>
    <xf numFmtId="0" fontId="5" fillId="39" borderId="0" xfId="0" applyFont="1" applyFill="1"/>
    <xf numFmtId="0" fontId="5" fillId="39" borderId="171" xfId="0" applyFont="1" applyFill="1" applyBorder="1"/>
    <xf numFmtId="0" fontId="5" fillId="0" borderId="231" xfId="2" applyBorder="1"/>
    <xf numFmtId="0" fontId="5" fillId="37" borderId="273" xfId="2" applyFill="1" applyBorder="1"/>
    <xf numFmtId="0" fontId="5" fillId="40" borderId="274" xfId="2" applyFill="1" applyBorder="1"/>
    <xf numFmtId="0" fontId="5" fillId="40" borderId="275" xfId="2" applyFill="1" applyBorder="1"/>
    <xf numFmtId="0" fontId="5" fillId="40" borderId="276" xfId="2" applyFill="1" applyBorder="1"/>
    <xf numFmtId="0" fontId="5" fillId="41" borderId="274" xfId="2" applyFill="1" applyBorder="1"/>
    <xf numFmtId="0" fontId="5" fillId="41" borderId="275" xfId="2" applyFill="1" applyBorder="1"/>
    <xf numFmtId="0" fontId="5" fillId="41" borderId="277" xfId="2" applyFill="1" applyBorder="1"/>
    <xf numFmtId="0" fontId="5" fillId="41" borderId="231" xfId="2" applyFill="1" applyBorder="1"/>
    <xf numFmtId="0" fontId="5" fillId="41" borderId="269" xfId="0" applyFont="1" applyFill="1" applyBorder="1"/>
    <xf numFmtId="0" fontId="5" fillId="41" borderId="14" xfId="0" applyFont="1" applyFill="1" applyBorder="1"/>
    <xf numFmtId="0" fontId="5" fillId="41" borderId="190" xfId="0" applyFont="1" applyFill="1" applyBorder="1"/>
    <xf numFmtId="0" fontId="5" fillId="37" borderId="273" xfId="0" applyFont="1" applyFill="1" applyBorder="1"/>
    <xf numFmtId="0" fontId="5" fillId="38" borderId="274" xfId="0" applyFont="1" applyFill="1" applyBorder="1"/>
    <xf numFmtId="0" fontId="5" fillId="38" borderId="275" xfId="0" applyFont="1" applyFill="1" applyBorder="1"/>
    <xf numFmtId="0" fontId="5" fillId="38" borderId="276" xfId="0" applyFont="1" applyFill="1" applyBorder="1"/>
    <xf numFmtId="0" fontId="5" fillId="39" borderId="274" xfId="0" applyFont="1" applyFill="1" applyBorder="1"/>
    <xf numFmtId="0" fontId="5" fillId="39" borderId="275" xfId="0" applyFont="1" applyFill="1" applyBorder="1"/>
    <xf numFmtId="0" fontId="5" fillId="39" borderId="277" xfId="0" applyFont="1" applyFill="1" applyBorder="1"/>
    <xf numFmtId="0" fontId="5" fillId="39" borderId="231" xfId="0" applyFont="1" applyFill="1" applyBorder="1"/>
    <xf numFmtId="0" fontId="5" fillId="37" borderId="191" xfId="0" applyFont="1" applyFill="1" applyBorder="1"/>
    <xf numFmtId="0" fontId="5" fillId="38" borderId="191" xfId="0" applyFont="1" applyFill="1" applyBorder="1"/>
    <xf numFmtId="0" fontId="5" fillId="39" borderId="61" xfId="0" applyFont="1" applyFill="1" applyBorder="1"/>
    <xf numFmtId="0" fontId="5" fillId="39" borderId="74" xfId="0" applyFont="1" applyFill="1" applyBorder="1"/>
    <xf numFmtId="0" fontId="5" fillId="40" borderId="271" xfId="0" applyFont="1" applyFill="1" applyBorder="1"/>
    <xf numFmtId="0" fontId="5" fillId="40" borderId="18" xfId="0" applyFont="1" applyFill="1" applyBorder="1"/>
    <xf numFmtId="0" fontId="5" fillId="41" borderId="274" xfId="0" applyFont="1" applyFill="1" applyBorder="1"/>
    <xf numFmtId="0" fontId="5" fillId="41" borderId="275" xfId="0" applyFont="1" applyFill="1" applyBorder="1"/>
    <xf numFmtId="0" fontId="5" fillId="41" borderId="277" xfId="0" applyFont="1" applyFill="1" applyBorder="1"/>
    <xf numFmtId="0" fontId="5" fillId="41" borderId="231" xfId="0" applyFont="1" applyFill="1" applyBorder="1"/>
    <xf numFmtId="0" fontId="5" fillId="38" borderId="231" xfId="0" applyFont="1" applyFill="1" applyBorder="1"/>
    <xf numFmtId="0" fontId="5" fillId="38" borderId="273" xfId="0" applyFont="1" applyFill="1" applyBorder="1"/>
    <xf numFmtId="0" fontId="5" fillId="38" borderId="278" xfId="0" applyFont="1" applyFill="1" applyBorder="1"/>
    <xf numFmtId="0" fontId="5" fillId="12" borderId="141" xfId="2" applyFill="1" applyBorder="1"/>
    <xf numFmtId="0" fontId="5" fillId="12" borderId="142" xfId="2" applyFill="1" applyBorder="1"/>
    <xf numFmtId="0" fontId="38" fillId="12" borderId="279" xfId="2" applyFont="1" applyFill="1" applyBorder="1" applyAlignment="1">
      <alignment horizontal="center" vertical="center" wrapText="1"/>
    </xf>
    <xf numFmtId="0" fontId="5" fillId="38" borderId="280" xfId="0" applyFont="1" applyFill="1" applyBorder="1"/>
    <xf numFmtId="0" fontId="5" fillId="12" borderId="92" xfId="2" applyFill="1" applyBorder="1"/>
    <xf numFmtId="0" fontId="5" fillId="12" borderId="79" xfId="2" applyFill="1" applyBorder="1"/>
    <xf numFmtId="0" fontId="38" fillId="12" borderId="281" xfId="2" applyFont="1" applyFill="1" applyBorder="1" applyAlignment="1">
      <alignment horizontal="center" vertical="center" wrapText="1"/>
    </xf>
    <xf numFmtId="0" fontId="5" fillId="11" borderId="125" xfId="2" applyFill="1" applyBorder="1"/>
    <xf numFmtId="0" fontId="5" fillId="11" borderId="171" xfId="2" applyFill="1" applyBorder="1"/>
    <xf numFmtId="0" fontId="44" fillId="11" borderId="282" xfId="2" applyFont="1" applyFill="1" applyBorder="1" applyAlignment="1">
      <alignment horizontal="center" vertical="center" wrapText="1"/>
    </xf>
    <xf numFmtId="0" fontId="5" fillId="39" borderId="283" xfId="0" applyFont="1" applyFill="1" applyBorder="1"/>
    <xf numFmtId="0" fontId="5" fillId="39" borderId="284" xfId="0" applyFont="1" applyFill="1" applyBorder="1"/>
    <xf numFmtId="0" fontId="5" fillId="39" borderId="156" xfId="0" applyFont="1" applyFill="1" applyBorder="1"/>
    <xf numFmtId="0" fontId="5" fillId="41" borderId="285" xfId="2" applyFill="1" applyBorder="1"/>
    <xf numFmtId="0" fontId="5" fillId="41" borderId="283" xfId="0" applyFont="1" applyFill="1" applyBorder="1"/>
    <xf numFmtId="0" fontId="5" fillId="39" borderId="285" xfId="0" applyFont="1" applyFill="1" applyBorder="1"/>
    <xf numFmtId="0" fontId="5" fillId="41" borderId="285" xfId="0" applyFont="1" applyFill="1" applyBorder="1"/>
    <xf numFmtId="170" fontId="101" fillId="0" borderId="209" xfId="0" applyNumberFormat="1" applyFont="1" applyBorder="1" applyAlignment="1">
      <alignment vertical="top" wrapText="1" readingOrder="1"/>
    </xf>
    <xf numFmtId="170" fontId="102" fillId="0" borderId="209" xfId="0" applyNumberFormat="1" applyFont="1" applyBorder="1" applyAlignment="1">
      <alignment vertical="top" wrapText="1" readingOrder="1"/>
    </xf>
    <xf numFmtId="0" fontId="101" fillId="0" borderId="209" xfId="0" applyFont="1" applyBorder="1" applyAlignment="1">
      <alignment vertical="top" wrapText="1" readingOrder="1"/>
    </xf>
    <xf numFmtId="171" fontId="9" fillId="7" borderId="8" xfId="0" applyNumberFormat="1" applyFont="1" applyFill="1" applyBorder="1"/>
    <xf numFmtId="0" fontId="5" fillId="37" borderId="0" xfId="2" applyFill="1"/>
    <xf numFmtId="0" fontId="5" fillId="40" borderId="142" xfId="2" applyFill="1" applyBorder="1"/>
    <xf numFmtId="0" fontId="5" fillId="40" borderId="0" xfId="2" applyFill="1"/>
    <xf numFmtId="0" fontId="5" fillId="40" borderId="78" xfId="2" applyFill="1" applyBorder="1"/>
    <xf numFmtId="0" fontId="5" fillId="41" borderId="156" xfId="2" applyFill="1" applyBorder="1"/>
    <xf numFmtId="0" fontId="5" fillId="41" borderId="0" xfId="2" applyFill="1"/>
    <xf numFmtId="0" fontId="5" fillId="41" borderId="142" xfId="2" applyFill="1" applyBorder="1"/>
    <xf numFmtId="167" fontId="8" fillId="32" borderId="12" xfId="0" applyNumberFormat="1" applyFont="1" applyFill="1" applyBorder="1" applyAlignment="1">
      <alignment horizontal="center" vertical="top"/>
    </xf>
    <xf numFmtId="167" fontId="8" fillId="32" borderId="12" xfId="0" applyNumberFormat="1" applyFont="1" applyFill="1" applyBorder="1" applyAlignment="1">
      <alignment horizontal="center" vertical="top" wrapText="1"/>
    </xf>
    <xf numFmtId="167" fontId="98" fillId="32" borderId="12" xfId="0" applyNumberFormat="1" applyFont="1" applyFill="1" applyBorder="1" applyAlignment="1">
      <alignment horizontal="center" vertical="top" wrapText="1"/>
    </xf>
    <xf numFmtId="167" fontId="79" fillId="32" borderId="12" xfId="0" applyNumberFormat="1" applyFont="1" applyFill="1" applyBorder="1" applyAlignment="1">
      <alignment horizontal="center" vertical="top" wrapText="1"/>
    </xf>
    <xf numFmtId="167" fontId="8" fillId="32" borderId="12" xfId="0" applyNumberFormat="1" applyFont="1" applyFill="1" applyBorder="1"/>
    <xf numFmtId="0" fontId="14" fillId="0" borderId="80" xfId="0" applyFont="1" applyBorder="1" applyAlignment="1">
      <alignment horizontal="center"/>
    </xf>
    <xf numFmtId="0" fontId="14" fillId="0" borderId="78" xfId="0" applyFont="1" applyBorder="1" applyAlignment="1">
      <alignment horizontal="center"/>
    </xf>
    <xf numFmtId="0" fontId="14" fillId="0" borderId="289" xfId="0" applyFont="1" applyBorder="1" applyAlignment="1">
      <alignment horizontal="center" vertical="top"/>
    </xf>
    <xf numFmtId="9" fontId="8" fillId="33" borderId="290" xfId="3" applyFont="1" applyFill="1" applyBorder="1"/>
    <xf numFmtId="9" fontId="8" fillId="33" borderId="291" xfId="3" applyFont="1" applyFill="1" applyBorder="1"/>
    <xf numFmtId="0" fontId="88" fillId="0" borderId="211" xfId="0" applyFont="1" applyBorder="1" applyAlignment="1">
      <alignment wrapText="1" readingOrder="1"/>
    </xf>
    <xf numFmtId="0" fontId="87" fillId="24" borderId="208" xfId="0" applyFont="1" applyFill="1" applyBorder="1" applyAlignment="1">
      <alignment wrapText="1" readingOrder="1"/>
    </xf>
    <xf numFmtId="0" fontId="87" fillId="24" borderId="206" xfId="0" applyFont="1" applyFill="1" applyBorder="1" applyAlignment="1">
      <alignment wrapText="1" readingOrder="1"/>
    </xf>
    <xf numFmtId="0" fontId="84" fillId="0" borderId="0" xfId="0" applyFont="1" applyAlignment="1">
      <alignment horizontal="left" wrapText="1" readingOrder="1"/>
    </xf>
    <xf numFmtId="0" fontId="84" fillId="0" borderId="0" xfId="0" applyFont="1" applyAlignment="1">
      <alignment wrapText="1" readingOrder="1"/>
    </xf>
    <xf numFmtId="14" fontId="84" fillId="0" borderId="0" xfId="0" applyNumberFormat="1" applyFont="1" applyAlignment="1">
      <alignment wrapText="1" readingOrder="1"/>
    </xf>
    <xf numFmtId="0" fontId="89" fillId="24" borderId="206" xfId="0" applyFont="1" applyFill="1" applyBorder="1" applyAlignment="1">
      <alignment wrapText="1" readingOrder="1"/>
    </xf>
    <xf numFmtId="8" fontId="88" fillId="0" borderId="209" xfId="0" applyNumberFormat="1" applyFont="1" applyBorder="1" applyAlignment="1">
      <alignment wrapText="1" readingOrder="1"/>
    </xf>
    <xf numFmtId="0" fontId="35" fillId="0" borderId="0" xfId="0" applyFont="1"/>
    <xf numFmtId="0" fontId="11" fillId="0" borderId="14" xfId="0" applyFont="1" applyBorder="1" applyAlignment="1">
      <alignment horizontal="left"/>
    </xf>
    <xf numFmtId="0" fontId="8" fillId="0" borderId="0" xfId="0" applyFont="1" applyAlignment="1">
      <alignment horizontal="center"/>
    </xf>
    <xf numFmtId="0" fontId="9" fillId="0" borderId="124" xfId="0" applyFont="1" applyBorder="1" applyAlignment="1">
      <alignment horizontal="left" wrapText="1"/>
    </xf>
    <xf numFmtId="0" fontId="9" fillId="0" borderId="233" xfId="0" applyFont="1" applyBorder="1" applyAlignment="1">
      <alignment horizontal="left" wrapText="1"/>
    </xf>
    <xf numFmtId="0" fontId="9" fillId="0" borderId="35" xfId="0" applyFont="1" applyBorder="1" applyAlignment="1">
      <alignment horizontal="left" wrapText="1"/>
    </xf>
    <xf numFmtId="0" fontId="9" fillId="0" borderId="51" xfId="0" applyFont="1" applyBorder="1" applyAlignment="1">
      <alignment horizontal="left"/>
    </xf>
    <xf numFmtId="0" fontId="9" fillId="0" borderId="56" xfId="0" applyFont="1" applyBorder="1" applyAlignment="1">
      <alignment horizontal="left"/>
    </xf>
    <xf numFmtId="0" fontId="9" fillId="0" borderId="30" xfId="0" applyFont="1" applyBorder="1" applyAlignment="1">
      <alignment horizontal="left"/>
    </xf>
    <xf numFmtId="0" fontId="14" fillId="0" borderId="34" xfId="0" applyFont="1" applyBorder="1" applyAlignment="1">
      <alignment horizontal="center" vertical="center" wrapText="1"/>
    </xf>
    <xf numFmtId="0" fontId="14" fillId="0" borderId="129" xfId="0" applyFont="1" applyBorder="1" applyAlignment="1">
      <alignment horizontal="center" vertical="center" wrapText="1"/>
    </xf>
    <xf numFmtId="0" fontId="14" fillId="0" borderId="288"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28" xfId="0" applyFont="1" applyBorder="1" applyAlignment="1">
      <alignment horizontal="center" vertical="center"/>
    </xf>
    <xf numFmtId="0" fontId="14" fillId="0" borderId="24" xfId="0" applyFont="1" applyBorder="1" applyAlignment="1">
      <alignment horizontal="center" vertical="center"/>
    </xf>
    <xf numFmtId="0" fontId="14" fillId="0" borderId="54" xfId="0" applyFont="1" applyBorder="1" applyAlignment="1">
      <alignment horizontal="center" vertical="center"/>
    </xf>
    <xf numFmtId="0" fontId="9" fillId="0" borderId="123" xfId="0" applyFont="1" applyBorder="1" applyAlignment="1">
      <alignment horizontal="left" wrapText="1"/>
    </xf>
    <xf numFmtId="0" fontId="9" fillId="0" borderId="0" xfId="0" applyFont="1" applyAlignment="1">
      <alignment horizontal="left"/>
    </xf>
    <xf numFmtId="0" fontId="11" fillId="0" borderId="134" xfId="0" applyFont="1" applyBorder="1" applyAlignment="1">
      <alignment horizontal="left"/>
    </xf>
    <xf numFmtId="0" fontId="8" fillId="0" borderId="99" xfId="0" applyFont="1" applyBorder="1" applyAlignment="1">
      <alignment horizontal="left" wrapText="1"/>
    </xf>
    <xf numFmtId="0" fontId="8" fillId="0" borderId="56" xfId="0" applyFont="1" applyBorder="1" applyAlignment="1">
      <alignment horizontal="left" wrapText="1"/>
    </xf>
    <xf numFmtId="0" fontId="8" fillId="0" borderId="30" xfId="0" applyFont="1" applyBorder="1" applyAlignment="1">
      <alignment horizontal="left" wrapText="1"/>
    </xf>
    <xf numFmtId="0" fontId="8" fillId="0" borderId="101" xfId="0" applyFont="1" applyBorder="1" applyAlignment="1">
      <alignment horizontal="left" wrapText="1"/>
    </xf>
    <xf numFmtId="0" fontId="8" fillId="0" borderId="102" xfId="0" applyFont="1" applyBorder="1" applyAlignment="1">
      <alignment horizontal="left" wrapText="1"/>
    </xf>
    <xf numFmtId="0" fontId="8" fillId="0" borderId="105" xfId="0" applyFont="1" applyBorder="1" applyAlignment="1">
      <alignment horizontal="left" wrapText="1"/>
    </xf>
    <xf numFmtId="0" fontId="11" fillId="0" borderId="145" xfId="0" applyFont="1" applyBorder="1" applyAlignment="1">
      <alignment horizontal="left"/>
    </xf>
    <xf numFmtId="0" fontId="8" fillId="0" borderId="243" xfId="0" applyFont="1" applyBorder="1" applyAlignment="1">
      <alignment wrapText="1"/>
    </xf>
    <xf numFmtId="0" fontId="8" fillId="0" borderId="56" xfId="0" applyFont="1" applyBorder="1" applyAlignment="1">
      <alignment wrapText="1"/>
    </xf>
    <xf numFmtId="0" fontId="8" fillId="0" borderId="30" xfId="0" applyFont="1" applyBorder="1" applyAlignment="1">
      <alignment wrapText="1"/>
    </xf>
    <xf numFmtId="0" fontId="9" fillId="0" borderId="236" xfId="0" applyFont="1" applyBorder="1" applyAlignment="1">
      <alignment horizontal="left"/>
    </xf>
    <xf numFmtId="0" fontId="24" fillId="0" borderId="145" xfId="0" applyFont="1" applyBorder="1" applyAlignment="1">
      <alignment horizontal="left"/>
    </xf>
    <xf numFmtId="0" fontId="8" fillId="0" borderId="243" xfId="0" applyFont="1" applyBorder="1" applyAlignment="1">
      <alignment horizontal="left" wrapText="1"/>
    </xf>
    <xf numFmtId="0" fontId="8" fillId="0" borderId="287" xfId="0" applyFont="1" applyBorder="1" applyAlignment="1">
      <alignment horizontal="left" wrapText="1"/>
    </xf>
    <xf numFmtId="0" fontId="14" fillId="0" borderId="244" xfId="0" applyFont="1" applyBorder="1" applyAlignment="1">
      <alignment horizontal="left" wrapText="1"/>
    </xf>
    <xf numFmtId="0" fontId="14" fillId="0" borderId="245" xfId="0" applyFont="1" applyBorder="1" applyAlignment="1">
      <alignment horizontal="left" wrapText="1"/>
    </xf>
    <xf numFmtId="0" fontId="14" fillId="0" borderId="249" xfId="0" applyFont="1" applyBorder="1" applyAlignment="1">
      <alignment horizontal="left" wrapText="1"/>
    </xf>
    <xf numFmtId="0" fontId="8" fillId="0" borderId="243" xfId="0" applyFont="1" applyBorder="1" applyAlignment="1">
      <alignment horizontal="left"/>
    </xf>
    <xf numFmtId="0" fontId="8" fillId="0" borderId="56" xfId="0" applyFont="1" applyBorder="1" applyAlignment="1">
      <alignment horizontal="left"/>
    </xf>
    <xf numFmtId="0" fontId="8" fillId="0" borderId="30" xfId="0" applyFont="1" applyBorder="1" applyAlignment="1">
      <alignment horizontal="left"/>
    </xf>
    <xf numFmtId="0" fontId="8" fillId="0" borderId="243" xfId="0" applyFont="1" applyBorder="1" applyAlignment="1">
      <alignment horizontal="left" vertical="center" wrapText="1"/>
    </xf>
    <xf numFmtId="0" fontId="8" fillId="0" borderId="56" xfId="0" applyFont="1" applyBorder="1" applyAlignment="1">
      <alignment horizontal="left" vertical="center" wrapText="1"/>
    </xf>
    <xf numFmtId="0" fontId="8" fillId="0" borderId="30" xfId="0" applyFont="1" applyBorder="1" applyAlignment="1">
      <alignment horizontal="left" vertical="center" wrapText="1"/>
    </xf>
    <xf numFmtId="0" fontId="14" fillId="0" borderId="243" xfId="0" applyFont="1" applyBorder="1" applyAlignment="1">
      <alignment horizontal="left"/>
    </xf>
    <xf numFmtId="0" fontId="14" fillId="0" borderId="56" xfId="0" applyFont="1" applyBorder="1" applyAlignment="1">
      <alignment horizontal="left"/>
    </xf>
    <xf numFmtId="0" fontId="14" fillId="0" borderId="30" xfId="0" applyFont="1" applyBorder="1" applyAlignment="1">
      <alignment horizontal="left"/>
    </xf>
    <xf numFmtId="0" fontId="14" fillId="0" borderId="243" xfId="0" applyFont="1" applyBorder="1" applyAlignment="1">
      <alignment horizontal="left" wrapText="1"/>
    </xf>
    <xf numFmtId="0" fontId="14" fillId="0" borderId="56" xfId="0" applyFont="1" applyBorder="1" applyAlignment="1">
      <alignment horizontal="left" wrapText="1"/>
    </xf>
    <xf numFmtId="0" fontId="14" fillId="0" borderId="30" xfId="0" applyFont="1" applyBorder="1" applyAlignment="1">
      <alignment horizontal="left" wrapText="1"/>
    </xf>
    <xf numFmtId="0" fontId="9" fillId="0" borderId="236" xfId="0" applyFont="1" applyBorder="1" applyAlignment="1">
      <alignment wrapText="1"/>
    </xf>
    <xf numFmtId="0" fontId="9" fillId="0" borderId="0" xfId="0" applyFont="1" applyAlignment="1">
      <alignment horizontal="center" wrapText="1"/>
    </xf>
    <xf numFmtId="0" fontId="1" fillId="8" borderId="37" xfId="0" applyFont="1" applyFill="1" applyBorder="1" applyAlignment="1">
      <alignment horizontal="center" wrapText="1"/>
    </xf>
    <xf numFmtId="0" fontId="1" fillId="8" borderId="119" xfId="0" applyFont="1" applyFill="1" applyBorder="1" applyAlignment="1">
      <alignment horizontal="center" wrapText="1"/>
    </xf>
    <xf numFmtId="0" fontId="1" fillId="8" borderId="120" xfId="0" applyFont="1" applyFill="1" applyBorder="1" applyAlignment="1">
      <alignment horizontal="center" wrapText="1"/>
    </xf>
    <xf numFmtId="0" fontId="2" fillId="13" borderId="38" xfId="0" applyFont="1" applyFill="1" applyBorder="1" applyAlignment="1">
      <alignment horizontal="left"/>
    </xf>
    <xf numFmtId="0" fontId="2" fillId="13" borderId="116" xfId="0" applyFont="1" applyFill="1" applyBorder="1" applyAlignment="1">
      <alignment horizontal="left"/>
    </xf>
    <xf numFmtId="0" fontId="2" fillId="13" borderId="117" xfId="0" applyFont="1" applyFill="1" applyBorder="1" applyAlignment="1">
      <alignment horizontal="left"/>
    </xf>
    <xf numFmtId="0" fontId="2" fillId="0" borderId="130" xfId="0" applyFont="1" applyBorder="1" applyAlignment="1">
      <alignment horizontal="left"/>
    </xf>
    <xf numFmtId="0" fontId="2" fillId="0" borderId="131" xfId="0" applyFont="1" applyBorder="1" applyAlignment="1">
      <alignment horizontal="left"/>
    </xf>
    <xf numFmtId="0" fontId="2" fillId="0" borderId="132" xfId="0" applyFont="1" applyBorder="1" applyAlignment="1">
      <alignment horizontal="left"/>
    </xf>
    <xf numFmtId="0" fontId="9" fillId="0" borderId="0" xfId="0" applyFont="1" applyAlignment="1">
      <alignment horizontal="left" wrapText="1"/>
    </xf>
    <xf numFmtId="0" fontId="0" fillId="0" borderId="0" xfId="0" applyAlignment="1">
      <alignment horizontal="left" wrapText="1"/>
    </xf>
    <xf numFmtId="0" fontId="11"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10" fillId="0" borderId="0" xfId="0" applyFont="1" applyAlignment="1">
      <alignment horizontal="center"/>
    </xf>
    <xf numFmtId="0" fontId="7" fillId="0" borderId="118" xfId="0" applyFont="1" applyBorder="1" applyAlignment="1">
      <alignment horizontal="center" vertical="center"/>
    </xf>
    <xf numFmtId="0" fontId="6" fillId="0" borderId="113" xfId="0" applyFont="1" applyBorder="1" applyAlignment="1">
      <alignment horizontal="center" vertical="center"/>
    </xf>
    <xf numFmtId="0" fontId="7" fillId="8" borderId="37" xfId="0" applyFont="1" applyFill="1" applyBorder="1" applyAlignment="1">
      <alignment horizontal="center"/>
    </xf>
    <xf numFmtId="0" fontId="7" fillId="8" borderId="119" xfId="0" applyFont="1" applyFill="1" applyBorder="1" applyAlignment="1">
      <alignment horizontal="center"/>
    </xf>
    <xf numFmtId="0" fontId="7" fillId="8" borderId="120" xfId="0" applyFont="1" applyFill="1" applyBorder="1" applyAlignment="1">
      <alignment horizontal="center"/>
    </xf>
    <xf numFmtId="0" fontId="16" fillId="0" borderId="21" xfId="0" applyFont="1" applyBorder="1" applyAlignment="1">
      <alignment vertical="center" wrapText="1"/>
    </xf>
    <xf numFmtId="0" fontId="16" fillId="0" borderId="18" xfId="0" applyFont="1" applyBorder="1" applyAlignment="1">
      <alignment vertical="center" wrapText="1"/>
    </xf>
    <xf numFmtId="0" fontId="16" fillId="0" borderId="61" xfId="0" applyFont="1" applyBorder="1" applyAlignment="1">
      <alignment vertical="center" wrapText="1"/>
    </xf>
    <xf numFmtId="0" fontId="2" fillId="0" borderId="91" xfId="0" applyFont="1" applyBorder="1" applyAlignment="1">
      <alignment horizontal="left"/>
    </xf>
    <xf numFmtId="0" fontId="2" fillId="0" borderId="14" xfId="0" applyFont="1" applyBorder="1" applyAlignment="1">
      <alignment horizontal="left"/>
    </xf>
    <xf numFmtId="0" fontId="2" fillId="0" borderId="41" xfId="0" applyFont="1" applyBorder="1" applyAlignment="1">
      <alignment horizontal="left"/>
    </xf>
    <xf numFmtId="0" fontId="7" fillId="0" borderId="86" xfId="0" applyFont="1" applyBorder="1" applyAlignment="1">
      <alignment horizontal="center" vertical="center"/>
    </xf>
    <xf numFmtId="0" fontId="7" fillId="0" borderId="83" xfId="0" applyFont="1" applyBorder="1" applyAlignment="1">
      <alignment horizontal="center" vertical="center"/>
    </xf>
    <xf numFmtId="0" fontId="7" fillId="0" borderId="113" xfId="0" applyFont="1" applyBorder="1" applyAlignment="1">
      <alignment horizontal="center" vertical="center"/>
    </xf>
    <xf numFmtId="0" fontId="7" fillId="0" borderId="89" xfId="0" applyFont="1" applyBorder="1" applyAlignment="1">
      <alignment horizontal="center" vertical="center"/>
    </xf>
    <xf numFmtId="0" fontId="7" fillId="0" borderId="84" xfId="0" applyFont="1" applyBorder="1" applyAlignment="1">
      <alignment horizontal="center" vertical="center"/>
    </xf>
    <xf numFmtId="0" fontId="2" fillId="13" borderId="91" xfId="0" applyFont="1" applyFill="1" applyBorder="1" applyAlignment="1">
      <alignment horizontal="left"/>
    </xf>
    <xf numFmtId="0" fontId="2" fillId="13" borderId="14" xfId="0" applyFont="1" applyFill="1" applyBorder="1" applyAlignment="1">
      <alignment horizontal="left"/>
    </xf>
    <xf numFmtId="0" fontId="11" fillId="0" borderId="4" xfId="0" applyFont="1" applyBorder="1" applyAlignment="1">
      <alignment horizontal="center" vertical="center"/>
    </xf>
    <xf numFmtId="0" fontId="11" fillId="0" borderId="18" xfId="0" applyFont="1" applyBorder="1" applyAlignment="1">
      <alignment horizontal="center" vertical="center"/>
    </xf>
    <xf numFmtId="0" fontId="11" fillId="0" borderId="36" xfId="0" applyFont="1" applyBorder="1" applyAlignment="1">
      <alignment horizontal="center" vertical="center"/>
    </xf>
    <xf numFmtId="0" fontId="16" fillId="0" borderId="0" xfId="0" applyFont="1" applyAlignment="1">
      <alignment wrapText="1"/>
    </xf>
    <xf numFmtId="0" fontId="20" fillId="0" borderId="0" xfId="0" applyFont="1" applyAlignment="1">
      <alignment wrapText="1"/>
    </xf>
    <xf numFmtId="0" fontId="89" fillId="24" borderId="207" xfId="0" applyFont="1" applyFill="1" applyBorder="1" applyAlignment="1">
      <alignment wrapText="1" readingOrder="1"/>
    </xf>
    <xf numFmtId="0" fontId="89" fillId="24" borderId="208" xfId="0" applyFont="1" applyFill="1" applyBorder="1" applyAlignment="1">
      <alignment wrapText="1" readingOrder="1"/>
    </xf>
    <xf numFmtId="0" fontId="88" fillId="0" borderId="210" xfId="0" applyFont="1" applyBorder="1" applyAlignment="1">
      <alignment wrapText="1" readingOrder="1"/>
    </xf>
    <xf numFmtId="0" fontId="88" fillId="0" borderId="211" xfId="0" applyFont="1" applyBorder="1" applyAlignment="1">
      <alignment wrapText="1" readingOrder="1"/>
    </xf>
    <xf numFmtId="0" fontId="89" fillId="24" borderId="214" xfId="0" applyFont="1" applyFill="1" applyBorder="1" applyAlignment="1">
      <alignment wrapText="1" readingOrder="1"/>
    </xf>
    <xf numFmtId="0" fontId="89" fillId="25" borderId="227" xfId="0" applyFont="1" applyFill="1" applyBorder="1" applyAlignment="1">
      <alignment wrapText="1" readingOrder="1"/>
    </xf>
    <xf numFmtId="0" fontId="89" fillId="25" borderId="228" xfId="0" applyFont="1" applyFill="1" applyBorder="1" applyAlignment="1">
      <alignment wrapText="1" readingOrder="1"/>
    </xf>
    <xf numFmtId="0" fontId="89" fillId="25" borderId="229" xfId="0" applyFont="1" applyFill="1" applyBorder="1" applyAlignment="1">
      <alignment wrapText="1" readingOrder="1"/>
    </xf>
    <xf numFmtId="0" fontId="89" fillId="24" borderId="201" xfId="0" applyFont="1" applyFill="1" applyBorder="1" applyAlignment="1">
      <alignment vertical="center" wrapText="1" readingOrder="1"/>
    </xf>
    <xf numFmtId="0" fontId="89" fillId="24" borderId="225" xfId="0" applyFont="1" applyFill="1" applyBorder="1" applyAlignment="1">
      <alignment vertical="center" wrapText="1" readingOrder="1"/>
    </xf>
    <xf numFmtId="0" fontId="89" fillId="24" borderId="202" xfId="0" applyFont="1" applyFill="1" applyBorder="1" applyAlignment="1">
      <alignment vertical="center" wrapText="1" readingOrder="1"/>
    </xf>
    <xf numFmtId="0" fontId="89" fillId="24" borderId="203" xfId="0" applyFont="1" applyFill="1" applyBorder="1" applyAlignment="1">
      <alignment vertical="center" wrapText="1" readingOrder="1"/>
    </xf>
    <xf numFmtId="0" fontId="89" fillId="24" borderId="0" xfId="0" applyFont="1" applyFill="1" applyAlignment="1">
      <alignment vertical="center" wrapText="1" readingOrder="1"/>
    </xf>
    <xf numFmtId="0" fontId="89" fillId="24" borderId="204" xfId="0" applyFont="1" applyFill="1" applyBorder="1" applyAlignment="1">
      <alignment vertical="center" wrapText="1" readingOrder="1"/>
    </xf>
    <xf numFmtId="0" fontId="89" fillId="24" borderId="205" xfId="0" applyFont="1" applyFill="1" applyBorder="1" applyAlignment="1">
      <alignment vertical="center" wrapText="1" readingOrder="1"/>
    </xf>
    <xf numFmtId="0" fontId="89" fillId="24" borderId="226" xfId="0" applyFont="1" applyFill="1" applyBorder="1" applyAlignment="1">
      <alignment vertical="center" wrapText="1" readingOrder="1"/>
    </xf>
    <xf numFmtId="0" fontId="89" fillId="24" borderId="206" xfId="0" applyFont="1" applyFill="1" applyBorder="1" applyAlignment="1">
      <alignment vertical="center" wrapText="1" readingOrder="1"/>
    </xf>
    <xf numFmtId="0" fontId="87" fillId="24" borderId="207" xfId="0" applyFont="1" applyFill="1" applyBorder="1" applyAlignment="1">
      <alignment wrapText="1" readingOrder="1"/>
    </xf>
    <xf numFmtId="0" fontId="87" fillId="24" borderId="208" xfId="0" applyFont="1" applyFill="1" applyBorder="1" applyAlignment="1">
      <alignment wrapText="1" readingOrder="1"/>
    </xf>
    <xf numFmtId="8" fontId="88" fillId="0" borderId="210" xfId="0" applyNumberFormat="1" applyFont="1" applyBorder="1" applyAlignment="1">
      <alignment wrapText="1" readingOrder="1"/>
    </xf>
    <xf numFmtId="0" fontId="89" fillId="25" borderId="217" xfId="0" applyFont="1" applyFill="1" applyBorder="1" applyAlignment="1">
      <alignment wrapText="1" readingOrder="1"/>
    </xf>
    <xf numFmtId="0" fontId="89" fillId="25" borderId="218" xfId="0" applyFont="1" applyFill="1" applyBorder="1" applyAlignment="1">
      <alignment wrapText="1" readingOrder="1"/>
    </xf>
    <xf numFmtId="0" fontId="89" fillId="25" borderId="219" xfId="0" applyFont="1" applyFill="1" applyBorder="1" applyAlignment="1">
      <alignment wrapText="1" readingOrder="1"/>
    </xf>
    <xf numFmtId="0" fontId="89" fillId="25" borderId="220" xfId="0" applyFont="1" applyFill="1" applyBorder="1" applyAlignment="1">
      <alignment wrapText="1" readingOrder="1"/>
    </xf>
    <xf numFmtId="0" fontId="89" fillId="25" borderId="0" xfId="0" applyFont="1" applyFill="1" applyAlignment="1">
      <alignment wrapText="1" readingOrder="1"/>
    </xf>
    <xf numFmtId="0" fontId="89" fillId="25" borderId="221" xfId="0" applyFont="1" applyFill="1" applyBorder="1" applyAlignment="1">
      <alignment wrapText="1" readingOrder="1"/>
    </xf>
    <xf numFmtId="0" fontId="89" fillId="25" borderId="222" xfId="0" applyFont="1" applyFill="1" applyBorder="1" applyAlignment="1">
      <alignment wrapText="1" readingOrder="1"/>
    </xf>
    <xf numFmtId="0" fontId="89" fillId="25" borderId="223" xfId="0" applyFont="1" applyFill="1" applyBorder="1" applyAlignment="1">
      <alignment wrapText="1" readingOrder="1"/>
    </xf>
    <xf numFmtId="0" fontId="89" fillId="25" borderId="224" xfId="0" applyFont="1" applyFill="1" applyBorder="1" applyAlignment="1">
      <alignment wrapText="1" readingOrder="1"/>
    </xf>
    <xf numFmtId="0" fontId="89" fillId="24" borderId="201" xfId="0" applyFont="1" applyFill="1" applyBorder="1" applyAlignment="1">
      <alignment wrapText="1" readingOrder="1"/>
    </xf>
    <xf numFmtId="0" fontId="89" fillId="24" borderId="225" xfId="0" applyFont="1" applyFill="1" applyBorder="1" applyAlignment="1">
      <alignment wrapText="1" readingOrder="1"/>
    </xf>
    <xf numFmtId="0" fontId="89" fillId="24" borderId="202" xfId="0" applyFont="1" applyFill="1" applyBorder="1" applyAlignment="1">
      <alignment wrapText="1" readingOrder="1"/>
    </xf>
    <xf numFmtId="0" fontId="89" fillId="24" borderId="205" xfId="0" applyFont="1" applyFill="1" applyBorder="1" applyAlignment="1">
      <alignment wrapText="1" readingOrder="1"/>
    </xf>
    <xf numFmtId="0" fontId="89" fillId="24" borderId="226" xfId="0" applyFont="1" applyFill="1" applyBorder="1" applyAlignment="1">
      <alignment wrapText="1" readingOrder="1"/>
    </xf>
    <xf numFmtId="0" fontId="89" fillId="24" borderId="206" xfId="0" applyFont="1" applyFill="1" applyBorder="1" applyAlignment="1">
      <alignment wrapText="1" readingOrder="1"/>
    </xf>
    <xf numFmtId="0" fontId="89" fillId="24" borderId="203" xfId="0" applyFont="1" applyFill="1" applyBorder="1" applyAlignment="1">
      <alignment wrapText="1" readingOrder="1"/>
    </xf>
    <xf numFmtId="0" fontId="89" fillId="24" borderId="0" xfId="0" applyFont="1" applyFill="1" applyAlignment="1">
      <alignment wrapText="1" readingOrder="1"/>
    </xf>
    <xf numFmtId="0" fontId="89" fillId="24" borderId="204" xfId="0" applyFont="1" applyFill="1" applyBorder="1" applyAlignment="1">
      <alignment wrapText="1" readingOrder="1"/>
    </xf>
    <xf numFmtId="0" fontId="89" fillId="24" borderId="201" xfId="0" applyFont="1" applyFill="1" applyBorder="1" applyAlignment="1">
      <alignment horizontal="left" vertical="center" wrapText="1" readingOrder="1"/>
    </xf>
    <xf numFmtId="0" fontId="89" fillId="24" borderId="225" xfId="0" applyFont="1" applyFill="1" applyBorder="1" applyAlignment="1">
      <alignment horizontal="left" vertical="center" wrapText="1" readingOrder="1"/>
    </xf>
    <xf numFmtId="0" fontId="89" fillId="24" borderId="202" xfId="0" applyFont="1" applyFill="1" applyBorder="1" applyAlignment="1">
      <alignment horizontal="left" vertical="center" wrapText="1" readingOrder="1"/>
    </xf>
    <xf numFmtId="0" fontId="89" fillId="24" borderId="203" xfId="0" applyFont="1" applyFill="1" applyBorder="1" applyAlignment="1">
      <alignment horizontal="left" vertical="center" wrapText="1" readingOrder="1"/>
    </xf>
    <xf numFmtId="0" fontId="89" fillId="24" borderId="0" xfId="0" applyFont="1" applyFill="1" applyAlignment="1">
      <alignment horizontal="left" vertical="center" wrapText="1" readingOrder="1"/>
    </xf>
    <xf numFmtId="0" fontId="89" fillId="24" borderId="204" xfId="0" applyFont="1" applyFill="1" applyBorder="1" applyAlignment="1">
      <alignment horizontal="left" vertical="center" wrapText="1" readingOrder="1"/>
    </xf>
    <xf numFmtId="0" fontId="89" fillId="24" borderId="205" xfId="0" applyFont="1" applyFill="1" applyBorder="1" applyAlignment="1">
      <alignment horizontal="left" vertical="center" wrapText="1" readingOrder="1"/>
    </xf>
    <xf numFmtId="0" fontId="89" fillId="24" borderId="226" xfId="0" applyFont="1" applyFill="1" applyBorder="1" applyAlignment="1">
      <alignment horizontal="left" vertical="center" wrapText="1" readingOrder="1"/>
    </xf>
    <xf numFmtId="0" fontId="89" fillId="24" borderId="206" xfId="0" applyFont="1" applyFill="1" applyBorder="1" applyAlignment="1">
      <alignment horizontal="left" vertical="center" wrapText="1" readingOrder="1"/>
    </xf>
    <xf numFmtId="0" fontId="85" fillId="22" borderId="196" xfId="0" applyFont="1" applyFill="1" applyBorder="1" applyAlignment="1">
      <alignment wrapText="1" readingOrder="1"/>
    </xf>
    <xf numFmtId="0" fontId="85" fillId="22" borderId="197" xfId="0" applyFont="1" applyFill="1" applyBorder="1" applyAlignment="1">
      <alignment wrapText="1" readingOrder="1"/>
    </xf>
    <xf numFmtId="0" fontId="85" fillId="22" borderId="216" xfId="0" applyFont="1" applyFill="1" applyBorder="1" applyAlignment="1">
      <alignment wrapText="1" readingOrder="1"/>
    </xf>
    <xf numFmtId="0" fontId="86" fillId="23" borderId="198" xfId="0" applyFont="1" applyFill="1" applyBorder="1" applyAlignment="1">
      <alignment horizontal="left" vertical="top" wrapText="1" readingOrder="1"/>
    </xf>
    <xf numFmtId="0" fontId="86" fillId="23" borderId="199" xfId="0" applyFont="1" applyFill="1" applyBorder="1" applyAlignment="1">
      <alignment horizontal="left" vertical="top" wrapText="1" readingOrder="1"/>
    </xf>
    <xf numFmtId="0" fontId="86" fillId="23" borderId="200" xfId="0" applyFont="1" applyFill="1" applyBorder="1" applyAlignment="1">
      <alignment horizontal="left" vertical="top" wrapText="1" readingOrder="1"/>
    </xf>
    <xf numFmtId="0" fontId="86" fillId="23" borderId="198" xfId="0" applyFont="1" applyFill="1" applyBorder="1" applyAlignment="1">
      <alignment horizontal="right" vertical="top" wrapText="1" readingOrder="1"/>
    </xf>
    <xf numFmtId="0" fontId="86" fillId="23" borderId="199" xfId="0" applyFont="1" applyFill="1" applyBorder="1" applyAlignment="1">
      <alignment horizontal="right" vertical="top" wrapText="1" readingOrder="1"/>
    </xf>
    <xf numFmtId="0" fontId="86" fillId="23" borderId="200" xfId="0" applyFont="1" applyFill="1" applyBorder="1" applyAlignment="1">
      <alignment horizontal="right" vertical="top" wrapText="1" readingOrder="1"/>
    </xf>
    <xf numFmtId="0" fontId="61" fillId="0" borderId="0" xfId="0" applyFont="1" applyAlignment="1">
      <alignment wrapText="1" readingOrder="1"/>
    </xf>
    <xf numFmtId="0" fontId="61" fillId="0" borderId="0" xfId="0" applyFont="1" applyAlignment="1">
      <alignment horizontal="left" readingOrder="1"/>
    </xf>
    <xf numFmtId="0" fontId="9" fillId="0" borderId="0" xfId="0" applyFont="1" applyAlignment="1">
      <alignment horizontal="left" vertical="center" wrapText="1"/>
    </xf>
    <xf numFmtId="0" fontId="0" fillId="0" borderId="0" xfId="0" applyAlignment="1">
      <alignment horizontal="left" vertical="center" wrapText="1"/>
    </xf>
    <xf numFmtId="0" fontId="9" fillId="0" borderId="0" xfId="0" applyFont="1" applyAlignment="1">
      <alignment vertical="top" wrapText="1"/>
    </xf>
    <xf numFmtId="0" fontId="16" fillId="0" borderId="0" xfId="0" applyFont="1" applyAlignment="1">
      <alignment vertical="top" wrapText="1"/>
    </xf>
    <xf numFmtId="0" fontId="74" fillId="0" borderId="0" xfId="0" applyFont="1" applyAlignment="1">
      <alignment horizontal="left" vertical="center" wrapText="1"/>
    </xf>
    <xf numFmtId="0" fontId="61" fillId="0" borderId="0" xfId="0" applyFont="1" applyAlignment="1">
      <alignment horizontal="left" vertical="top" wrapText="1" readingOrder="1"/>
    </xf>
    <xf numFmtId="0" fontId="85" fillId="22" borderId="195" xfId="0" applyFont="1" applyFill="1" applyBorder="1" applyAlignment="1">
      <alignment vertical="top" wrapText="1" readingOrder="1"/>
    </xf>
    <xf numFmtId="0" fontId="84" fillId="0" borderId="196" xfId="0" applyFont="1" applyBorder="1" applyAlignment="1">
      <alignment vertical="top" wrapText="1"/>
    </xf>
    <xf numFmtId="0" fontId="84" fillId="0" borderId="197" xfId="0" applyFont="1" applyBorder="1" applyAlignment="1">
      <alignment vertical="top" wrapText="1"/>
    </xf>
    <xf numFmtId="0" fontId="86" fillId="23" borderId="266" xfId="0" applyFont="1" applyFill="1" applyBorder="1" applyAlignment="1">
      <alignment vertical="top" wrapText="1" readingOrder="1"/>
    </xf>
    <xf numFmtId="0" fontId="84" fillId="23" borderId="199" xfId="0" applyFont="1" applyFill="1" applyBorder="1" applyAlignment="1">
      <alignment vertical="top" wrapText="1"/>
    </xf>
    <xf numFmtId="0" fontId="84" fillId="23" borderId="200" xfId="0" applyFont="1" applyFill="1" applyBorder="1" applyAlignment="1">
      <alignment vertical="top" wrapText="1"/>
    </xf>
    <xf numFmtId="0" fontId="89" fillId="25" borderId="268" xfId="0" applyFont="1" applyFill="1" applyBorder="1" applyAlignment="1">
      <alignment vertical="top" wrapText="1" readingOrder="1"/>
    </xf>
    <xf numFmtId="0" fontId="84" fillId="0" borderId="218" xfId="0" applyFont="1" applyBorder="1" applyAlignment="1">
      <alignment vertical="top" wrapText="1"/>
    </xf>
    <xf numFmtId="0" fontId="84" fillId="0" borderId="219" xfId="0" applyFont="1" applyBorder="1" applyAlignment="1">
      <alignment vertical="top" wrapText="1"/>
    </xf>
    <xf numFmtId="0" fontId="84" fillId="25" borderId="220" xfId="0" applyFont="1" applyFill="1" applyBorder="1" applyAlignment="1">
      <alignment vertical="top" wrapText="1"/>
    </xf>
    <xf numFmtId="0" fontId="84" fillId="0" borderId="221" xfId="0" applyFont="1" applyBorder="1" applyAlignment="1">
      <alignment vertical="top" wrapText="1"/>
    </xf>
    <xf numFmtId="0" fontId="84" fillId="25" borderId="222" xfId="0" applyFont="1" applyFill="1" applyBorder="1" applyAlignment="1">
      <alignment vertical="top" wrapText="1"/>
    </xf>
    <xf numFmtId="0" fontId="84" fillId="0" borderId="223" xfId="0" applyFont="1" applyBorder="1" applyAlignment="1">
      <alignment vertical="top" wrapText="1"/>
    </xf>
    <xf numFmtId="0" fontId="84" fillId="0" borderId="224" xfId="0" applyFont="1" applyBorder="1" applyAlignment="1">
      <alignment vertical="top" wrapText="1"/>
    </xf>
    <xf numFmtId="0" fontId="89" fillId="24" borderId="267" xfId="0" applyFont="1" applyFill="1" applyBorder="1" applyAlignment="1">
      <alignment vertical="top" wrapText="1" readingOrder="1"/>
    </xf>
    <xf numFmtId="0" fontId="84" fillId="0" borderId="225" xfId="0" applyFont="1" applyBorder="1" applyAlignment="1">
      <alignment vertical="top" wrapText="1"/>
    </xf>
    <xf numFmtId="0" fontId="84" fillId="0" borderId="202" xfId="0" applyFont="1" applyBorder="1" applyAlignment="1">
      <alignment vertical="top" wrapText="1"/>
    </xf>
    <xf numFmtId="0" fontId="84" fillId="24" borderId="203" xfId="0" applyFont="1" applyFill="1" applyBorder="1" applyAlignment="1">
      <alignment vertical="top" wrapText="1"/>
    </xf>
    <xf numFmtId="0" fontId="84" fillId="0" borderId="204" xfId="0" applyFont="1" applyBorder="1" applyAlignment="1">
      <alignment vertical="top" wrapText="1"/>
    </xf>
    <xf numFmtId="0" fontId="84" fillId="24" borderId="205" xfId="0" applyFont="1" applyFill="1" applyBorder="1" applyAlignment="1">
      <alignment vertical="top" wrapText="1"/>
    </xf>
    <xf numFmtId="0" fontId="84" fillId="0" borderId="226" xfId="0" applyFont="1" applyBorder="1" applyAlignment="1">
      <alignment vertical="top" wrapText="1"/>
    </xf>
    <xf numFmtId="0" fontId="84" fillId="0" borderId="206" xfId="0" applyFont="1" applyBorder="1" applyAlignment="1">
      <alignment vertical="top" wrapText="1"/>
    </xf>
    <xf numFmtId="0" fontId="87" fillId="24" borderId="267" xfId="0" applyFont="1" applyFill="1" applyBorder="1" applyAlignment="1">
      <alignment vertical="top" wrapText="1" readingOrder="1"/>
    </xf>
    <xf numFmtId="0" fontId="84" fillId="0" borderId="208" xfId="0" applyFont="1" applyBorder="1" applyAlignment="1">
      <alignment vertical="top" wrapText="1"/>
    </xf>
    <xf numFmtId="170" fontId="88" fillId="0" borderId="209" xfId="0" applyNumberFormat="1" applyFont="1" applyBorder="1" applyAlignment="1">
      <alignment vertical="top" wrapText="1" readingOrder="1"/>
    </xf>
    <xf numFmtId="0" fontId="84" fillId="0" borderId="211" xfId="0" applyFont="1" applyBorder="1" applyAlignment="1">
      <alignment vertical="top" wrapText="1"/>
    </xf>
    <xf numFmtId="0" fontId="88" fillId="0" borderId="209" xfId="0" applyFont="1" applyBorder="1" applyAlignment="1">
      <alignment vertical="top" wrapText="1" readingOrder="1"/>
    </xf>
    <xf numFmtId="0" fontId="89" fillId="24" borderId="267" xfId="0" applyFont="1" applyFill="1" applyBorder="1" applyAlignment="1">
      <alignment horizontal="left" vertical="top" wrapText="1" readingOrder="1"/>
    </xf>
    <xf numFmtId="0" fontId="84" fillId="0" borderId="207" xfId="0" applyFont="1" applyBorder="1" applyAlignment="1">
      <alignment vertical="top" wrapText="1"/>
    </xf>
    <xf numFmtId="0" fontId="84" fillId="0" borderId="228" xfId="0" applyFont="1" applyBorder="1" applyAlignment="1">
      <alignment vertical="top" wrapText="1"/>
    </xf>
    <xf numFmtId="0" fontId="84" fillId="0" borderId="229" xfId="0" applyFont="1" applyBorder="1" applyAlignment="1">
      <alignment vertical="top" wrapText="1"/>
    </xf>
    <xf numFmtId="170" fontId="88" fillId="0" borderId="286" xfId="0" applyNumberFormat="1" applyFont="1" applyBorder="1" applyAlignment="1">
      <alignment vertical="top" wrapText="1" readingOrder="1"/>
    </xf>
    <xf numFmtId="170" fontId="88" fillId="0" borderId="211" xfId="0" applyNumberFormat="1" applyFont="1" applyBorder="1" applyAlignment="1">
      <alignment vertical="top" wrapText="1" readingOrder="1"/>
    </xf>
    <xf numFmtId="0" fontId="101" fillId="24" borderId="267" xfId="0" applyFont="1" applyFill="1" applyBorder="1" applyAlignment="1">
      <alignment vertical="top" wrapText="1" readingOrder="1"/>
    </xf>
    <xf numFmtId="0" fontId="60" fillId="0" borderId="208" xfId="0" applyFont="1" applyBorder="1" applyAlignment="1">
      <alignment vertical="top" wrapText="1"/>
    </xf>
    <xf numFmtId="0" fontId="102" fillId="24" borderId="267" xfId="0" applyFont="1" applyFill="1" applyBorder="1" applyAlignment="1">
      <alignment vertical="top" wrapText="1" readingOrder="1"/>
    </xf>
    <xf numFmtId="0" fontId="102" fillId="24" borderId="267" xfId="0" applyFont="1" applyFill="1" applyBorder="1" applyAlignment="1">
      <alignment horizontal="left" vertical="top" wrapText="1" readingOrder="1"/>
    </xf>
    <xf numFmtId="0" fontId="10" fillId="9" borderId="0" xfId="2" applyFont="1" applyFill="1" applyAlignment="1">
      <alignment horizontal="left"/>
    </xf>
    <xf numFmtId="0" fontId="9" fillId="9" borderId="0" xfId="2" applyFont="1" applyFill="1" applyAlignment="1">
      <alignment vertical="center" wrapText="1"/>
    </xf>
    <xf numFmtId="0" fontId="5" fillId="9" borderId="0" xfId="2" applyFill="1" applyAlignment="1">
      <alignment vertical="center" wrapText="1"/>
    </xf>
    <xf numFmtId="0" fontId="16" fillId="0" borderId="0" xfId="2" applyFont="1" applyAlignment="1">
      <alignment vertical="center" wrapText="1"/>
    </xf>
    <xf numFmtId="0" fontId="5" fillId="0" borderId="0" xfId="2" applyAlignment="1">
      <alignment vertical="center" wrapText="1"/>
    </xf>
    <xf numFmtId="0" fontId="9" fillId="0" borderId="0" xfId="0" applyFont="1" applyAlignment="1">
      <alignment horizontal="left" vertical="top" wrapText="1"/>
    </xf>
    <xf numFmtId="0" fontId="86" fillId="23" borderId="198" xfId="0" applyFont="1" applyFill="1" applyBorder="1" applyAlignment="1">
      <alignment wrapText="1" readingOrder="1"/>
    </xf>
    <xf numFmtId="0" fontId="86" fillId="23" borderId="199" xfId="0" applyFont="1" applyFill="1" applyBorder="1" applyAlignment="1">
      <alignment wrapText="1" readingOrder="1"/>
    </xf>
    <xf numFmtId="0" fontId="86" fillId="23" borderId="200" xfId="0" applyFont="1" applyFill="1" applyBorder="1" applyAlignment="1">
      <alignment wrapText="1" readingOrder="1"/>
    </xf>
    <xf numFmtId="0" fontId="87" fillId="24" borderId="201" xfId="0" applyFont="1" applyFill="1" applyBorder="1" applyAlignment="1">
      <alignment wrapText="1" readingOrder="1"/>
    </xf>
    <xf numFmtId="0" fontId="87" fillId="24" borderId="202" xfId="0" applyFont="1" applyFill="1" applyBorder="1" applyAlignment="1">
      <alignment wrapText="1" readingOrder="1"/>
    </xf>
    <xf numFmtId="0" fontId="87" fillId="24" borderId="203" xfId="0" applyFont="1" applyFill="1" applyBorder="1" applyAlignment="1">
      <alignment wrapText="1" readingOrder="1"/>
    </xf>
    <xf numFmtId="0" fontId="87" fillId="24" borderId="204" xfId="0" applyFont="1" applyFill="1" applyBorder="1" applyAlignment="1">
      <alignment wrapText="1" readingOrder="1"/>
    </xf>
    <xf numFmtId="0" fontId="87" fillId="24" borderId="205" xfId="0" applyFont="1" applyFill="1" applyBorder="1" applyAlignment="1">
      <alignment wrapText="1" readingOrder="1"/>
    </xf>
    <xf numFmtId="0" fontId="87" fillId="24" borderId="206" xfId="0" applyFont="1" applyFill="1" applyBorder="1" applyAlignment="1">
      <alignment wrapText="1" readingOrder="1"/>
    </xf>
    <xf numFmtId="0" fontId="87" fillId="24" borderId="267" xfId="0" applyFont="1" applyFill="1" applyBorder="1" applyAlignment="1">
      <alignment vertical="top" readingOrder="1"/>
    </xf>
    <xf numFmtId="0" fontId="84" fillId="0" borderId="208" xfId="0" applyFont="1" applyBorder="1" applyAlignment="1">
      <alignment vertical="top"/>
    </xf>
    <xf numFmtId="0" fontId="10" fillId="9" borderId="0" xfId="2" applyFont="1" applyFill="1" applyAlignment="1">
      <alignment horizontal="left" wrapText="1"/>
    </xf>
    <xf numFmtId="0" fontId="75" fillId="0" borderId="0" xfId="2" applyFont="1" applyAlignment="1">
      <alignment vertical="center" wrapText="1"/>
    </xf>
    <xf numFmtId="0" fontId="59" fillId="21" borderId="79" xfId="0" applyFont="1" applyFill="1" applyBorder="1" applyAlignment="1">
      <alignment horizontal="left"/>
    </xf>
    <xf numFmtId="0" fontId="59" fillId="21" borderId="0" xfId="0" applyFont="1" applyFill="1" applyAlignment="1">
      <alignment horizontal="left"/>
    </xf>
    <xf numFmtId="0" fontId="59" fillId="21" borderId="123" xfId="0" applyFont="1" applyFill="1" applyBorder="1" applyAlignment="1">
      <alignment horizontal="left" wrapText="1"/>
    </xf>
    <xf numFmtId="0" fontId="59" fillId="21" borderId="14" xfId="0" applyFont="1" applyFill="1" applyBorder="1" applyAlignment="1">
      <alignment horizontal="left" wrapText="1"/>
    </xf>
    <xf numFmtId="0" fontId="59" fillId="21" borderId="18" xfId="0" applyFont="1" applyFill="1" applyBorder="1" applyAlignment="1">
      <alignment horizontal="left"/>
    </xf>
    <xf numFmtId="0" fontId="59" fillId="21" borderId="191" xfId="0" applyFont="1" applyFill="1" applyBorder="1" applyAlignment="1">
      <alignment horizontal="left"/>
    </xf>
    <xf numFmtId="0" fontId="59" fillId="21" borderId="192" xfId="0" applyFont="1" applyFill="1" applyBorder="1" applyAlignment="1">
      <alignment horizontal="left" wrapText="1"/>
    </xf>
    <xf numFmtId="0" fontId="59" fillId="21" borderId="190" xfId="0" applyFont="1" applyFill="1" applyBorder="1" applyAlignment="1">
      <alignment horizontal="left" wrapText="1"/>
    </xf>
    <xf numFmtId="0" fontId="59" fillId="21" borderId="14" xfId="0" applyFont="1" applyFill="1" applyBorder="1" applyAlignment="1">
      <alignment horizontal="left"/>
    </xf>
    <xf numFmtId="0" fontId="57" fillId="0" borderId="121" xfId="0" applyFont="1" applyBorder="1" applyAlignment="1">
      <alignment horizontal="center" vertical="center" wrapText="1"/>
    </xf>
    <xf numFmtId="0" fontId="57" fillId="0" borderId="122" xfId="0" applyFont="1" applyBorder="1" applyAlignment="1">
      <alignment horizontal="center" vertical="center" wrapText="1"/>
    </xf>
    <xf numFmtId="0" fontId="57" fillId="0" borderId="189" xfId="0" applyFont="1" applyBorder="1" applyAlignment="1">
      <alignment horizontal="center" vertical="center" wrapText="1"/>
    </xf>
    <xf numFmtId="0" fontId="58" fillId="20" borderId="121" xfId="0" applyFont="1" applyFill="1" applyBorder="1" applyAlignment="1">
      <alignment horizontal="center" vertical="center"/>
    </xf>
    <xf numFmtId="0" fontId="58" fillId="20" borderId="122" xfId="0" applyFont="1" applyFill="1" applyBorder="1" applyAlignment="1">
      <alignment horizontal="center" vertical="center"/>
    </xf>
    <xf numFmtId="0" fontId="58" fillId="20" borderId="189" xfId="0" applyFont="1" applyFill="1" applyBorder="1" applyAlignment="1">
      <alignment horizontal="center" vertical="center"/>
    </xf>
    <xf numFmtId="0" fontId="59" fillId="21" borderId="72" xfId="0" applyFont="1" applyFill="1" applyBorder="1" applyAlignment="1">
      <alignment horizontal="left"/>
    </xf>
    <xf numFmtId="0" fontId="59" fillId="21" borderId="93" xfId="0" applyFont="1" applyFill="1" applyBorder="1" applyAlignment="1">
      <alignment horizontal="left" wrapText="1"/>
    </xf>
    <xf numFmtId="0" fontId="59" fillId="21" borderId="125" xfId="0" applyFont="1" applyFill="1" applyBorder="1" applyAlignment="1">
      <alignment horizontal="left" wrapText="1"/>
    </xf>
    <xf numFmtId="0" fontId="61" fillId="0" borderId="139" xfId="0" applyFont="1" applyBorder="1" applyAlignment="1">
      <alignment horizontal="center" vertical="center" wrapText="1"/>
    </xf>
    <xf numFmtId="0" fontId="61" fillId="0" borderId="158" xfId="0" applyFont="1" applyBorder="1" applyAlignment="1">
      <alignment horizontal="center" vertical="center" wrapText="1"/>
    </xf>
    <xf numFmtId="0" fontId="61" fillId="0" borderId="141" xfId="0" applyFont="1" applyBorder="1" applyAlignment="1">
      <alignment horizontal="center" vertical="center" wrapText="1"/>
    </xf>
    <xf numFmtId="0" fontId="61" fillId="0" borderId="150" xfId="0" applyFont="1" applyBorder="1" applyAlignment="1">
      <alignment horizontal="center" vertical="center" wrapText="1"/>
    </xf>
    <xf numFmtId="0" fontId="61" fillId="0" borderId="143" xfId="0" applyFont="1" applyBorder="1" applyAlignment="1">
      <alignment horizontal="center" vertical="center" wrapText="1"/>
    </xf>
    <xf numFmtId="0" fontId="61" fillId="0" borderId="159" xfId="0" applyFont="1" applyBorder="1" applyAlignment="1">
      <alignment horizontal="center" vertical="center" wrapText="1"/>
    </xf>
    <xf numFmtId="0" fontId="61" fillId="0" borderId="144" xfId="0" applyFont="1" applyBorder="1" applyAlignment="1">
      <alignment horizontal="center" vertical="center" wrapText="1"/>
    </xf>
    <xf numFmtId="0" fontId="61" fillId="0" borderId="155" xfId="0" applyFont="1" applyBorder="1" applyAlignment="1">
      <alignment horizontal="center" vertical="center" wrapText="1"/>
    </xf>
    <xf numFmtId="0" fontId="62" fillId="0" borderId="143" xfId="0" applyFont="1" applyBorder="1" applyAlignment="1">
      <alignment horizontal="center" vertical="center" wrapText="1"/>
    </xf>
    <xf numFmtId="0" fontId="62" fillId="0" borderId="160" xfId="0" applyFont="1" applyBorder="1" applyAlignment="1">
      <alignment horizontal="center" vertical="center" wrapText="1"/>
    </xf>
    <xf numFmtId="0" fontId="62" fillId="0" borderId="144" xfId="0" applyFont="1" applyBorder="1" applyAlignment="1">
      <alignment horizontal="center" vertical="center" wrapText="1"/>
    </xf>
    <xf numFmtId="0" fontId="62" fillId="0" borderId="161" xfId="0" applyFont="1" applyBorder="1" applyAlignment="1">
      <alignment horizontal="center" vertical="center" wrapText="1"/>
    </xf>
    <xf numFmtId="8" fontId="59" fillId="21" borderId="14" xfId="0" applyNumberFormat="1" applyFont="1" applyFill="1" applyBorder="1" applyAlignment="1">
      <alignment horizontal="left"/>
    </xf>
    <xf numFmtId="8" fontId="59" fillId="21" borderId="190" xfId="0" applyNumberFormat="1" applyFont="1" applyFill="1" applyBorder="1" applyAlignment="1">
      <alignment horizontal="left"/>
    </xf>
    <xf numFmtId="0" fontId="58" fillId="20" borderId="121" xfId="0" applyFont="1" applyFill="1" applyBorder="1" applyAlignment="1">
      <alignment horizontal="left" vertical="center"/>
    </xf>
    <xf numFmtId="0" fontId="58" fillId="20" borderId="122" xfId="0" applyFont="1" applyFill="1" applyBorder="1" applyAlignment="1">
      <alignment horizontal="left" vertical="center"/>
    </xf>
    <xf numFmtId="0" fontId="58" fillId="20" borderId="189" xfId="0" applyFont="1" applyFill="1" applyBorder="1" applyAlignment="1">
      <alignment horizontal="left" vertical="center"/>
    </xf>
    <xf numFmtId="0" fontId="61" fillId="20" borderId="147" xfId="0" applyFont="1" applyFill="1" applyBorder="1" applyAlignment="1">
      <alignment horizontal="center" vertical="center" wrapText="1"/>
    </xf>
    <xf numFmtId="0" fontId="61" fillId="20" borderId="148" xfId="0" applyFont="1" applyFill="1" applyBorder="1" applyAlignment="1">
      <alignment horizontal="center" vertical="center" wrapText="1"/>
    </xf>
    <xf numFmtId="0" fontId="61" fillId="20" borderId="141" xfId="0" applyFont="1" applyFill="1" applyBorder="1" applyAlignment="1">
      <alignment horizontal="center" vertical="center" wrapText="1"/>
    </xf>
    <xf numFmtId="0" fontId="61" fillId="20" borderId="150" xfId="0" applyFont="1" applyFill="1" applyBorder="1" applyAlignment="1">
      <alignment horizontal="center" vertical="center" wrapText="1"/>
    </xf>
    <xf numFmtId="0" fontId="61" fillId="20" borderId="152" xfId="0" applyFont="1" applyFill="1" applyBorder="1" applyAlignment="1">
      <alignment horizontal="center" vertical="center" wrapText="1"/>
    </xf>
    <xf numFmtId="0" fontId="61" fillId="20" borderId="153" xfId="0" applyFont="1" applyFill="1" applyBorder="1" applyAlignment="1">
      <alignment horizontal="center" vertical="center" wrapText="1"/>
    </xf>
    <xf numFmtId="0" fontId="65" fillId="21" borderId="137" xfId="0" applyFont="1" applyFill="1" applyBorder="1" applyAlignment="1">
      <alignment horizontal="center" vertical="center" wrapText="1"/>
    </xf>
    <xf numFmtId="0" fontId="65" fillId="21" borderId="157" xfId="0" applyFont="1" applyFill="1" applyBorder="1" applyAlignment="1">
      <alignment horizontal="center" vertical="center" wrapText="1"/>
    </xf>
    <xf numFmtId="0" fontId="65" fillId="21" borderId="137" xfId="0" applyFont="1" applyFill="1" applyBorder="1" applyAlignment="1">
      <alignment horizontal="left" vertical="center"/>
    </xf>
    <xf numFmtId="0" fontId="65" fillId="21" borderId="136" xfId="0" applyFont="1" applyFill="1" applyBorder="1" applyAlignment="1">
      <alignment horizontal="left" vertical="center"/>
    </xf>
    <xf numFmtId="0" fontId="65" fillId="21" borderId="137" xfId="0" applyFont="1" applyFill="1" applyBorder="1" applyAlignment="1">
      <alignment horizontal="right" vertical="center" wrapText="1"/>
    </xf>
    <xf numFmtId="0" fontId="65" fillId="21" borderId="157" xfId="0" applyFont="1" applyFill="1" applyBorder="1" applyAlignment="1">
      <alignment horizontal="right" vertical="center" wrapText="1"/>
    </xf>
    <xf numFmtId="0" fontId="61" fillId="0" borderId="145" xfId="0" applyFont="1" applyBorder="1" applyAlignment="1">
      <alignment horizontal="center" vertical="center" wrapText="1"/>
    </xf>
    <xf numFmtId="0" fontId="61" fillId="0" borderId="161" xfId="0" applyFont="1" applyBorder="1" applyAlignment="1">
      <alignment horizontal="center" vertical="center" wrapText="1"/>
    </xf>
    <xf numFmtId="0" fontId="61" fillId="21" borderId="137" xfId="0" applyFont="1" applyFill="1" applyBorder="1" applyAlignment="1">
      <alignment horizontal="left" vertical="center" wrapText="1"/>
    </xf>
    <xf numFmtId="0" fontId="61" fillId="21" borderId="138" xfId="0" applyFont="1" applyFill="1" applyBorder="1" applyAlignment="1">
      <alignment horizontal="left" vertical="center" wrapText="1"/>
    </xf>
    <xf numFmtId="0" fontId="65" fillId="21" borderId="138" xfId="0" applyFont="1" applyFill="1" applyBorder="1" applyAlignment="1">
      <alignment horizontal="right" vertical="center" wrapText="1"/>
    </xf>
    <xf numFmtId="0" fontId="61" fillId="21" borderId="137" xfId="0" applyFont="1" applyFill="1" applyBorder="1" applyAlignment="1">
      <alignment horizontal="right" vertical="center" wrapText="1"/>
    </xf>
    <xf numFmtId="0" fontId="61" fillId="21" borderId="138" xfId="0" applyFont="1" applyFill="1" applyBorder="1" applyAlignment="1">
      <alignment horizontal="right" vertical="center" wrapText="1"/>
    </xf>
    <xf numFmtId="0" fontId="65" fillId="21" borderId="137" xfId="0" applyFont="1" applyFill="1" applyBorder="1" applyAlignment="1">
      <alignment horizontal="left" vertical="center" wrapText="1"/>
    </xf>
    <xf numFmtId="0" fontId="65" fillId="21" borderId="138" xfId="0" applyFont="1" applyFill="1" applyBorder="1" applyAlignment="1">
      <alignment horizontal="left" vertical="center" wrapText="1"/>
    </xf>
    <xf numFmtId="0" fontId="65" fillId="21" borderId="138" xfId="0" applyFont="1" applyFill="1" applyBorder="1" applyAlignment="1">
      <alignment horizontal="center" vertical="center" wrapText="1"/>
    </xf>
    <xf numFmtId="0" fontId="60" fillId="0" borderId="172" xfId="0" applyFont="1" applyBorder="1" applyAlignment="1">
      <alignment vertical="center"/>
    </xf>
    <xf numFmtId="0" fontId="60" fillId="0" borderId="0" xfId="0" applyFont="1" applyAlignment="1">
      <alignment vertical="center"/>
    </xf>
    <xf numFmtId="0" fontId="63" fillId="0" borderId="80" xfId="0" applyFont="1" applyBorder="1" applyAlignment="1">
      <alignment horizontal="center" vertical="center" textRotation="90" wrapText="1"/>
    </xf>
    <xf numFmtId="0" fontId="63" fillId="0" borderId="78" xfId="0" applyFont="1" applyBorder="1" applyAlignment="1">
      <alignment horizontal="center" vertical="center" textRotation="90" wrapText="1"/>
    </xf>
    <xf numFmtId="0" fontId="63" fillId="0" borderId="173" xfId="0" applyFont="1" applyBorder="1" applyAlignment="1">
      <alignment horizontal="center" vertical="center" textRotation="90" wrapText="1"/>
    </xf>
    <xf numFmtId="0" fontId="61" fillId="21" borderId="163" xfId="0" applyFont="1" applyFill="1" applyBorder="1" applyAlignment="1">
      <alignment horizontal="right" vertical="center" wrapText="1"/>
    </xf>
    <xf numFmtId="0" fontId="61" fillId="21" borderId="162" xfId="0" applyFont="1" applyFill="1" applyBorder="1" applyAlignment="1">
      <alignment horizontal="right" vertical="center" wrapText="1"/>
    </xf>
    <xf numFmtId="0" fontId="65" fillId="21" borderId="163" xfId="0" applyFont="1" applyFill="1" applyBorder="1" applyAlignment="1">
      <alignment horizontal="center" vertical="center" wrapText="1"/>
    </xf>
    <xf numFmtId="0" fontId="65" fillId="21" borderId="174" xfId="0" applyFont="1" applyFill="1" applyBorder="1" applyAlignment="1">
      <alignment horizontal="center" vertical="center" wrapText="1"/>
    </xf>
    <xf numFmtId="0" fontId="63" fillId="0" borderId="167" xfId="0" applyFont="1" applyBorder="1" applyAlignment="1">
      <alignment horizontal="center" vertical="center" textRotation="90"/>
    </xf>
    <xf numFmtId="0" fontId="63" fillId="0" borderId="140" xfId="0" applyFont="1" applyBorder="1" applyAlignment="1">
      <alignment horizontal="center" vertical="center" textRotation="90"/>
    </xf>
    <xf numFmtId="0" fontId="63" fillId="0" borderId="175" xfId="0" applyFont="1" applyBorder="1" applyAlignment="1">
      <alignment horizontal="center" vertical="center" textRotation="90"/>
    </xf>
    <xf numFmtId="0" fontId="65" fillId="21" borderId="176" xfId="0" applyFont="1" applyFill="1" applyBorder="1" applyAlignment="1">
      <alignment horizontal="center" vertical="center" wrapText="1"/>
    </xf>
    <xf numFmtId="0" fontId="65" fillId="21" borderId="177" xfId="0" applyFont="1" applyFill="1" applyBorder="1" applyAlignment="1">
      <alignment horizontal="center" vertical="center" wrapText="1"/>
    </xf>
    <xf numFmtId="0" fontId="61" fillId="21" borderId="137" xfId="0" applyFont="1" applyFill="1" applyBorder="1" applyAlignment="1">
      <alignment horizontal="center" vertical="center" wrapText="1"/>
    </xf>
    <xf numFmtId="0" fontId="61" fillId="21" borderId="138" xfId="0" applyFont="1" applyFill="1" applyBorder="1" applyAlignment="1">
      <alignment horizontal="center" vertical="center" wrapText="1"/>
    </xf>
    <xf numFmtId="0" fontId="61" fillId="21" borderId="136" xfId="0" applyFont="1" applyFill="1" applyBorder="1" applyAlignment="1">
      <alignment horizontal="center" vertical="center" wrapText="1"/>
    </xf>
    <xf numFmtId="0" fontId="61" fillId="21" borderId="176" xfId="0" applyFont="1" applyFill="1" applyBorder="1" applyAlignment="1">
      <alignment horizontal="center" vertical="center" wrapText="1"/>
    </xf>
    <xf numFmtId="0" fontId="61" fillId="21" borderId="178" xfId="0" applyFont="1" applyFill="1" applyBorder="1" applyAlignment="1">
      <alignment horizontal="center" vertical="center" wrapText="1"/>
    </xf>
    <xf numFmtId="0" fontId="61" fillId="21" borderId="170" xfId="0" applyFont="1" applyFill="1" applyBorder="1" applyAlignment="1">
      <alignment horizontal="center" vertical="center" wrapText="1"/>
    </xf>
    <xf numFmtId="0" fontId="65" fillId="20" borderId="107" xfId="0" applyFont="1" applyFill="1" applyBorder="1" applyAlignment="1">
      <alignment horizontal="left"/>
    </xf>
    <xf numFmtId="0" fontId="65" fillId="20" borderId="134" xfId="0" applyFont="1" applyFill="1" applyBorder="1" applyAlignment="1">
      <alignment horizontal="left"/>
    </xf>
    <xf numFmtId="0" fontId="61" fillId="20" borderId="134" xfId="0" applyFont="1" applyFill="1" applyBorder="1" applyAlignment="1">
      <alignment horizontal="left"/>
    </xf>
    <xf numFmtId="0" fontId="68" fillId="20" borderId="107" xfId="0" applyFont="1" applyFill="1" applyBorder="1" applyAlignment="1">
      <alignment horizontal="left"/>
    </xf>
    <xf numFmtId="0" fontId="68" fillId="20" borderId="134" xfId="0" applyFont="1" applyFill="1" applyBorder="1" applyAlignment="1">
      <alignment horizontal="left"/>
    </xf>
    <xf numFmtId="0" fontId="59" fillId="20" borderId="134" xfId="0" applyFont="1" applyFill="1" applyBorder="1" applyAlignment="1">
      <alignment horizontal="left"/>
    </xf>
    <xf numFmtId="0" fontId="60" fillId="20" borderId="134" xfId="0" applyFont="1" applyFill="1" applyBorder="1" applyAlignment="1">
      <alignment horizontal="left"/>
    </xf>
    <xf numFmtId="0" fontId="60" fillId="20" borderId="135" xfId="0" applyFont="1" applyFill="1" applyBorder="1" applyAlignment="1">
      <alignment horizontal="left"/>
    </xf>
    <xf numFmtId="0" fontId="65" fillId="21" borderId="163" xfId="0" applyFont="1" applyFill="1" applyBorder="1" applyAlignment="1">
      <alignment horizontal="right" vertical="center" wrapText="1"/>
    </xf>
    <xf numFmtId="0" fontId="65" fillId="21" borderId="174" xfId="0" applyFont="1" applyFill="1" applyBorder="1" applyAlignment="1">
      <alignment horizontal="right" vertical="center" wrapText="1"/>
    </xf>
    <xf numFmtId="0" fontId="61" fillId="21" borderId="184" xfId="0" applyFont="1" applyFill="1" applyBorder="1" applyAlignment="1">
      <alignment horizontal="right" vertical="center" wrapText="1"/>
    </xf>
    <xf numFmtId="0" fontId="61" fillId="21" borderId="185" xfId="0" applyFont="1" applyFill="1" applyBorder="1" applyAlignment="1">
      <alignment horizontal="right" vertical="center" wrapText="1"/>
    </xf>
    <xf numFmtId="0" fontId="61" fillId="21" borderId="186" xfId="0" applyFont="1" applyFill="1" applyBorder="1" applyAlignment="1">
      <alignment horizontal="right" vertical="center" wrapText="1"/>
    </xf>
    <xf numFmtId="0" fontId="63" fillId="20" borderId="92" xfId="0" applyFont="1" applyFill="1" applyBorder="1" applyAlignment="1">
      <alignment horizontal="left"/>
    </xf>
    <xf numFmtId="0" fontId="63" fillId="20" borderId="93" xfId="0" applyFont="1" applyFill="1" applyBorder="1" applyAlignment="1">
      <alignment horizontal="left"/>
    </xf>
    <xf numFmtId="0" fontId="63" fillId="20" borderId="125" xfId="0" applyFont="1" applyFill="1" applyBorder="1" applyAlignment="1">
      <alignment horizontal="left"/>
    </xf>
    <xf numFmtId="0" fontId="69" fillId="20" borderId="79" xfId="0" applyFont="1" applyFill="1" applyBorder="1" applyAlignment="1">
      <alignment horizontal="justify"/>
    </xf>
    <xf numFmtId="0" fontId="69" fillId="20" borderId="0" xfId="0" applyFont="1" applyFill="1" applyAlignment="1">
      <alignment horizontal="justify"/>
    </xf>
    <xf numFmtId="0" fontId="69" fillId="20" borderId="171" xfId="0" applyFont="1" applyFill="1" applyBorder="1" applyAlignment="1">
      <alignment horizontal="justify"/>
    </xf>
    <xf numFmtId="0" fontId="61" fillId="20" borderId="107" xfId="0" applyFont="1" applyFill="1" applyBorder="1" applyAlignment="1">
      <alignment horizontal="left"/>
    </xf>
    <xf numFmtId="0" fontId="10" fillId="0" borderId="0" xfId="0" applyFont="1" applyAlignment="1">
      <alignment horizontal="left"/>
    </xf>
    <xf numFmtId="0" fontId="14" fillId="13" borderId="0" xfId="0" applyFont="1" applyFill="1" applyAlignment="1">
      <alignment horizontal="center"/>
    </xf>
    <xf numFmtId="0" fontId="16" fillId="0" borderId="0" xfId="0" applyFont="1" applyAlignment="1">
      <alignment horizontal="left" vertical="center" wrapText="1"/>
    </xf>
    <xf numFmtId="0" fontId="16" fillId="0" borderId="14" xfId="0" applyFont="1" applyBorder="1" applyAlignment="1">
      <alignment horizontal="left" vertical="center" wrapText="1"/>
    </xf>
    <xf numFmtId="0" fontId="10" fillId="0" borderId="0" xfId="2" applyFont="1" applyAlignment="1">
      <alignment wrapText="1"/>
    </xf>
    <xf numFmtId="0" fontId="13" fillId="0" borderId="0" xfId="2" applyFont="1" applyAlignment="1">
      <alignment wrapText="1"/>
    </xf>
    <xf numFmtId="0" fontId="9" fillId="0" borderId="0" xfId="2" applyFont="1" applyAlignment="1">
      <alignment horizontal="left" vertical="center" wrapText="1"/>
    </xf>
    <xf numFmtId="0" fontId="9" fillId="0" borderId="0" xfId="2" applyFont="1" applyAlignment="1">
      <alignment wrapText="1"/>
    </xf>
    <xf numFmtId="0" fontId="38" fillId="11" borderId="80" xfId="2" applyFont="1" applyFill="1" applyBorder="1" applyAlignment="1">
      <alignment horizontal="center" wrapText="1"/>
    </xf>
    <xf numFmtId="0" fontId="38" fillId="11" borderId="78" xfId="2" applyFont="1" applyFill="1" applyBorder="1" applyAlignment="1">
      <alignment horizontal="center" wrapText="1"/>
    </xf>
    <xf numFmtId="0" fontId="38" fillId="11" borderId="76" xfId="2" applyFont="1" applyFill="1" applyBorder="1" applyAlignment="1">
      <alignment horizontal="center" wrapText="1"/>
    </xf>
    <xf numFmtId="0" fontId="48" fillId="11" borderId="73" xfId="2" applyFont="1" applyFill="1" applyBorder="1" applyAlignment="1">
      <alignment horizontal="center" vertical="center" wrapText="1"/>
    </xf>
    <xf numFmtId="0" fontId="48" fillId="11" borderId="72" xfId="2" applyFont="1" applyFill="1" applyBorder="1" applyAlignment="1">
      <alignment horizontal="center" vertical="center" wrapText="1"/>
    </xf>
    <xf numFmtId="0" fontId="48" fillId="11" borderId="71" xfId="2" applyFont="1" applyFill="1" applyBorder="1" applyAlignment="1">
      <alignment horizontal="center" vertical="center" wrapText="1"/>
    </xf>
    <xf numFmtId="0" fontId="51" fillId="12" borderId="121" xfId="2" applyFont="1" applyFill="1" applyBorder="1" applyAlignment="1">
      <alignment horizontal="center" vertical="center" wrapText="1"/>
    </xf>
    <xf numFmtId="0" fontId="51" fillId="12" borderId="122" xfId="2" applyFont="1" applyFill="1" applyBorder="1" applyAlignment="1">
      <alignment horizontal="center" vertical="center" wrapText="1"/>
    </xf>
    <xf numFmtId="0" fontId="51" fillId="12" borderId="93" xfId="2" applyFont="1" applyFill="1" applyBorder="1" applyAlignment="1">
      <alignment horizontal="center" vertical="center" wrapText="1"/>
    </xf>
    <xf numFmtId="0" fontId="36" fillId="11" borderId="92" xfId="2" applyFont="1" applyFill="1" applyBorder="1" applyAlignment="1">
      <alignment horizontal="center" vertical="center" wrapText="1"/>
    </xf>
    <xf numFmtId="0" fontId="36" fillId="11" borderId="93" xfId="2" applyFont="1" applyFill="1" applyBorder="1" applyAlignment="1">
      <alignment horizontal="center" vertical="center" wrapText="1"/>
    </xf>
    <xf numFmtId="0" fontId="36" fillId="11" borderId="125" xfId="2" applyFont="1" applyFill="1" applyBorder="1" applyAlignment="1">
      <alignment horizontal="center" vertical="center" wrapText="1"/>
    </xf>
    <xf numFmtId="0" fontId="38" fillId="12" borderId="90" xfId="2" applyFont="1" applyFill="1" applyBorder="1" applyAlignment="1">
      <alignment horizontal="center" vertical="center"/>
    </xf>
    <xf numFmtId="0" fontId="50" fillId="12" borderId="80" xfId="2" applyFont="1" applyFill="1" applyBorder="1" applyAlignment="1">
      <alignment wrapText="1"/>
    </xf>
    <xf numFmtId="0" fontId="5" fillId="12" borderId="78" xfId="2" applyFill="1" applyBorder="1" applyAlignment="1">
      <alignment wrapText="1"/>
    </xf>
    <xf numFmtId="0" fontId="38" fillId="11" borderId="73" xfId="2" applyFont="1" applyFill="1" applyBorder="1" applyAlignment="1">
      <alignment horizontal="center" vertical="center"/>
    </xf>
    <xf numFmtId="0" fontId="38" fillId="11" borderId="72" xfId="2" applyFont="1" applyFill="1" applyBorder="1" applyAlignment="1">
      <alignment horizontal="center" vertical="center"/>
    </xf>
    <xf numFmtId="0" fontId="38" fillId="11" borderId="71" xfId="2" applyFont="1" applyFill="1" applyBorder="1" applyAlignment="1">
      <alignment horizontal="center" vertical="center"/>
    </xf>
    <xf numFmtId="0" fontId="80" fillId="0" borderId="0" xfId="2" applyFont="1" applyAlignment="1">
      <alignment horizontal="left" vertical="center"/>
    </xf>
    <xf numFmtId="0" fontId="81" fillId="0" borderId="0" xfId="2" applyFont="1" applyAlignment="1">
      <alignment horizontal="left"/>
    </xf>
    <xf numFmtId="0" fontId="16" fillId="0" borderId="0" xfId="2" applyFont="1" applyAlignment="1">
      <alignment horizontal="left" vertical="top" wrapText="1"/>
    </xf>
    <xf numFmtId="0" fontId="5" fillId="0" borderId="0" xfId="2" applyAlignment="1">
      <alignment wrapText="1"/>
    </xf>
    <xf numFmtId="0" fontId="16" fillId="0" borderId="0" xfId="2" applyFont="1" applyAlignment="1">
      <alignment wrapText="1"/>
    </xf>
    <xf numFmtId="0" fontId="6" fillId="0" borderId="86" xfId="0" applyFont="1" applyBorder="1" applyAlignment="1"/>
    <xf numFmtId="0" fontId="6" fillId="0" borderId="83" xfId="0" applyFont="1" applyBorder="1" applyAlignment="1"/>
    <xf numFmtId="0" fontId="6" fillId="0" borderId="89" xfId="0" applyFont="1" applyBorder="1" applyAlignment="1"/>
    <xf numFmtId="0" fontId="6" fillId="0" borderId="84" xfId="0" applyFont="1" applyBorder="1" applyAlignment="1"/>
    <xf numFmtId="0" fontId="2" fillId="0" borderId="11" xfId="0" applyFont="1" applyBorder="1" applyAlignment="1"/>
    <xf numFmtId="0" fontId="2" fillId="0" borderId="69" xfId="0" applyFont="1" applyBorder="1" applyAlignment="1"/>
    <xf numFmtId="0" fontId="2" fillId="0" borderId="115" xfId="0" applyFont="1" applyBorder="1" applyAlignment="1"/>
    <xf numFmtId="0" fontId="2" fillId="0" borderId="4" xfId="0" applyFont="1" applyBorder="1" applyAlignment="1"/>
    <xf numFmtId="0" fontId="2" fillId="0" borderId="18" xfId="0" applyFont="1" applyBorder="1" applyAlignment="1"/>
    <xf numFmtId="0" fontId="2" fillId="0" borderId="61" xfId="0" applyFont="1" applyBorder="1" applyAlignment="1"/>
    <xf numFmtId="0" fontId="2" fillId="0" borderId="38" xfId="0" applyFont="1" applyBorder="1" applyAlignment="1"/>
    <xf numFmtId="0" fontId="2" fillId="0" borderId="116" xfId="0" applyFont="1" applyBorder="1" applyAlignment="1"/>
    <xf numFmtId="0" fontId="2" fillId="0" borderId="117" xfId="0" applyFont="1" applyBorder="1" applyAlignment="1"/>
    <xf numFmtId="0" fontId="0" fillId="0" borderId="18" xfId="0" applyBorder="1" applyAlignment="1"/>
    <xf numFmtId="0" fontId="0" fillId="0" borderId="36" xfId="0" applyBorder="1" applyAlignment="1"/>
    <xf numFmtId="0" fontId="84" fillId="0" borderId="0" xfId="0" applyFont="1" applyAlignment="1"/>
    <xf numFmtId="0" fontId="59" fillId="21" borderId="93" xfId="0" applyFont="1" applyFill="1" applyBorder="1" applyAlignment="1"/>
    <xf numFmtId="0" fontId="59" fillId="21" borderId="0" xfId="0" applyFont="1" applyFill="1" applyAlignment="1"/>
    <xf numFmtId="0" fontId="59" fillId="21" borderId="134" xfId="0" applyFont="1" applyFill="1" applyBorder="1" applyAlignment="1"/>
    <xf numFmtId="0" fontId="60" fillId="20" borderId="93" xfId="0" applyFont="1" applyFill="1" applyBorder="1" applyAlignment="1"/>
    <xf numFmtId="0" fontId="60" fillId="0" borderId="0" xfId="0" applyFont="1" applyAlignment="1"/>
    <xf numFmtId="0" fontId="5" fillId="0" borderId="0" xfId="2" applyAlignment="1"/>
  </cellXfs>
  <cellStyles count="6">
    <cellStyle name="Comma" xfId="4" builtinId="3"/>
    <cellStyle name="Currency" xfId="1" builtinId="4"/>
    <cellStyle name="Normal" xfId="0" builtinId="0"/>
    <cellStyle name="Normal 2" xfId="2" xr:uid="{00000000-0005-0000-0000-000004000000}"/>
    <cellStyle name="Normal 2 2 2" xfId="5" xr:uid="{B00384F8-8507-41F0-A168-4BEB5F7C7927}"/>
    <cellStyle name="Percent" xfId="3" builtinId="5"/>
  </cellStyles>
  <dxfs count="6">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3FFFF"/>
      <rgbColor rgb="00660066"/>
      <rgbColor rgb="00FF8080"/>
      <rgbColor rgb="000066CC"/>
      <rgbColor rgb="00EBEB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30</xdr:row>
      <xdr:rowOff>92776</xdr:rowOff>
    </xdr:from>
    <xdr:to>
      <xdr:col>7</xdr:col>
      <xdr:colOff>524625</xdr:colOff>
      <xdr:row>34</xdr:row>
      <xdr:rowOff>36368</xdr:rowOff>
    </xdr:to>
    <xdr:sp macro="" textlink="">
      <xdr:nvSpPr>
        <xdr:cNvPr id="14" name="Text Box 24">
          <a:extLst>
            <a:ext uri="{FF2B5EF4-FFF2-40B4-BE49-F238E27FC236}">
              <a16:creationId xmlns:a16="http://schemas.microsoft.com/office/drawing/2014/main" id="{8D6EB3B7-DC7C-4F07-BA3E-D6D49F967B4B}"/>
            </a:ext>
          </a:extLst>
        </xdr:cNvPr>
        <xdr:cNvSpPr txBox="1">
          <a:spLocks noChangeArrowheads="1"/>
        </xdr:cNvSpPr>
      </xdr:nvSpPr>
      <xdr:spPr bwMode="auto">
        <a:xfrm>
          <a:off x="0" y="7143750"/>
          <a:ext cx="476758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lnSpc>
              <a:spcPct val="110000"/>
            </a:lnSpc>
            <a:spcBef>
              <a:spcPts val="0"/>
            </a:spcBef>
            <a:spcAft>
              <a:spcPts val="600"/>
            </a:spcAft>
          </a:pPr>
          <a:r>
            <a:rPr lang="en-US" sz="1400" u="none">
              <a:solidFill>
                <a:sysClr val="windowText" lastClr="000000"/>
              </a:solidFill>
              <a:effectLst/>
              <a:latin typeface="Arial" panose="020B0604020202020204" pitchFamily="34" charset="0"/>
              <a:ea typeface="Times New Roman" panose="02020603050405020304" pitchFamily="18" charset="0"/>
              <a:cs typeface="Times New Roman" panose="02020603050405020304" pitchFamily="18" charset="0"/>
            </a:rPr>
            <a:t>For the Period January 1, 2027 - December 31, 2027</a:t>
          </a:r>
        </a:p>
        <a:p>
          <a:pPr marL="0" marR="0">
            <a:lnSpc>
              <a:spcPct val="110000"/>
            </a:lnSpc>
            <a:spcBef>
              <a:spcPts val="0"/>
            </a:spcBef>
            <a:spcAft>
              <a:spcPts val="600"/>
            </a:spcAft>
          </a:pPr>
          <a:r>
            <a:rPr lang="en-US" sz="1400" u="none">
              <a:solidFill>
                <a:sysClr val="windowText" lastClr="000000"/>
              </a:solidFill>
              <a:effectLst/>
              <a:latin typeface="Arial" panose="020B0604020202020204" pitchFamily="34" charset="0"/>
              <a:ea typeface="Times New Roman" panose="02020603050405020304" pitchFamily="18" charset="0"/>
              <a:cs typeface="Times New Roman" panose="02020603050405020304" pitchFamily="18" charset="0"/>
            </a:rPr>
            <a:t>Submitted:</a:t>
          </a:r>
          <a:r>
            <a:rPr lang="en-US" sz="1400" u="none" baseline="0">
              <a:solidFill>
                <a:sysClr val="windowText" lastClr="000000"/>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n-US" sz="1400" u="none">
            <a:solidFill>
              <a:sysClr val="windowText" lastClr="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22</xdr:row>
      <xdr:rowOff>804</xdr:rowOff>
    </xdr:from>
    <xdr:to>
      <xdr:col>8</xdr:col>
      <xdr:colOff>128039</xdr:colOff>
      <xdr:row>28</xdr:row>
      <xdr:rowOff>151142</xdr:rowOff>
    </xdr:to>
    <xdr:sp macro="" textlink="">
      <xdr:nvSpPr>
        <xdr:cNvPr id="15" name="Text Box 11">
          <a:extLst>
            <a:ext uri="{FF2B5EF4-FFF2-40B4-BE49-F238E27FC236}">
              <a16:creationId xmlns:a16="http://schemas.microsoft.com/office/drawing/2014/main" id="{D1B16BAC-6286-47C6-953E-4FA29350BF02}"/>
            </a:ext>
          </a:extLst>
        </xdr:cNvPr>
        <xdr:cNvSpPr txBox="1">
          <a:spLocks noChangeArrowheads="1"/>
        </xdr:cNvSpPr>
      </xdr:nvSpPr>
      <xdr:spPr bwMode="auto">
        <a:xfrm>
          <a:off x="0" y="5567362"/>
          <a:ext cx="4977130" cy="1263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lnSpc>
              <a:spcPct val="120000"/>
            </a:lnSpc>
            <a:spcBef>
              <a:spcPts val="0"/>
            </a:spcBef>
            <a:spcAft>
              <a:spcPts val="1000"/>
            </a:spcAft>
          </a:pPr>
          <a:r>
            <a:rPr lang="en-US" sz="2000"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rPr>
            <a:t>Template and instructions</a:t>
          </a:r>
        </a:p>
        <a:p>
          <a:pPr marL="0" marR="0">
            <a:lnSpc>
              <a:spcPct val="120000"/>
            </a:lnSpc>
            <a:spcBef>
              <a:spcPts val="0"/>
            </a:spcBef>
            <a:spcAft>
              <a:spcPts val="1000"/>
            </a:spcAft>
          </a:pPr>
          <a:r>
            <a:rPr lang="en-US" sz="1600" u="sng"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rPr>
            <a:t>&lt;Organization Name&gt;</a:t>
          </a:r>
          <a:endParaRPr lang="en-US" sz="1800"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endParaRPr>
        </a:p>
        <a:p>
          <a:pPr marL="0" marR="0">
            <a:lnSpc>
              <a:spcPct val="120000"/>
            </a:lnSpc>
            <a:spcBef>
              <a:spcPts val="0"/>
            </a:spcBef>
            <a:spcAft>
              <a:spcPts val="1000"/>
            </a:spcAft>
          </a:pPr>
          <a:r>
            <a:rPr lang="en-US" sz="1600"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rPr>
            <a:t>PSA: ____</a:t>
          </a:r>
          <a:endParaRPr lang="en-US" sz="1800" cap="all">
            <a:solidFill>
              <a:srgbClr val="44546A"/>
            </a:solidFill>
            <a:effectLst/>
            <a:latin typeface="Calibri Light" panose="020F0302020204030204" pitchFamily="34" charset="0"/>
            <a:ea typeface="Times New Roman" panose="02020603050405020304" pitchFamily="18" charset="0"/>
            <a:cs typeface="Times New Roman" panose="02020603050405020304" pitchFamily="18" charset="0"/>
          </a:endParaRPr>
        </a:p>
        <a:p>
          <a:pPr marL="0" marR="0">
            <a:lnSpc>
              <a:spcPct val="110000"/>
            </a:lnSpc>
            <a:spcBef>
              <a:spcPts val="0"/>
            </a:spcBef>
            <a:spcAft>
              <a:spcPts val="600"/>
            </a:spcAft>
          </a:pPr>
          <a:r>
            <a:rPr lang="en-US" sz="1200">
              <a:effectLst/>
              <a:latin typeface="Arial" panose="020B0604020202020204" pitchFamily="34" charset="0"/>
              <a:ea typeface="Times New Roman" panose="02020603050405020304" pitchFamily="18" charset="0"/>
              <a:cs typeface="Times New Roman" panose="02020603050405020304" pitchFamily="18" charset="0"/>
            </a:rPr>
            <a:t> </a:t>
          </a:r>
        </a:p>
      </xdr:txBody>
    </xdr:sp>
    <xdr:clientData/>
  </xdr:twoCellAnchor>
  <xdr:twoCellAnchor>
    <xdr:from>
      <xdr:col>0</xdr:col>
      <xdr:colOff>0</xdr:colOff>
      <xdr:row>19</xdr:row>
      <xdr:rowOff>19297</xdr:rowOff>
    </xdr:from>
    <xdr:to>
      <xdr:col>8</xdr:col>
      <xdr:colOff>472209</xdr:colOff>
      <xdr:row>21</xdr:row>
      <xdr:rowOff>96504</xdr:rowOff>
    </xdr:to>
    <xdr:sp macro="" textlink="">
      <xdr:nvSpPr>
        <xdr:cNvPr id="16" name="Text Box 26">
          <a:extLst>
            <a:ext uri="{FF2B5EF4-FFF2-40B4-BE49-F238E27FC236}">
              <a16:creationId xmlns:a16="http://schemas.microsoft.com/office/drawing/2014/main" id="{7AA243A2-0681-4B09-926E-A16A6C7F5A07}"/>
            </a:ext>
          </a:extLst>
        </xdr:cNvPr>
        <xdr:cNvSpPr txBox="1">
          <a:spLocks noChangeArrowheads="1"/>
        </xdr:cNvSpPr>
      </xdr:nvSpPr>
      <xdr:spPr bwMode="auto">
        <a:xfrm>
          <a:off x="0" y="5029200"/>
          <a:ext cx="5321300" cy="448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b" anchorCtr="0" upright="1">
          <a:noAutofit/>
        </a:bodyPr>
        <a:lstStyle/>
        <a:p>
          <a:pPr marL="0" marR="0">
            <a:spcBef>
              <a:spcPts val="1800"/>
            </a:spcBef>
            <a:spcAft>
              <a:spcPts val="300"/>
            </a:spcAft>
          </a:pPr>
          <a:r>
            <a:rPr lang="en-US" sz="2200" kern="0" cap="none" spc="0" baseline="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2027 Area Plan</a:t>
          </a:r>
          <a:r>
            <a:rPr lang="en-US" sz="2200" kern="0" cap="all" spc="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 C</a:t>
          </a:r>
          <a:r>
            <a:rPr lang="en-US" sz="2200" kern="0" cap="none" spc="0" baseline="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ontract</a:t>
          </a:r>
          <a:r>
            <a:rPr lang="en-US" sz="2200" kern="0" cap="all" spc="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 M</a:t>
          </a:r>
          <a:r>
            <a:rPr lang="en-US" sz="2200" kern="0" cap="none" spc="0" baseline="0">
              <a:solidFill>
                <a:srgbClr val="001848"/>
              </a:solidFill>
              <a:effectLst/>
              <a:latin typeface="Arial" panose="020B0604020202020204" pitchFamily="34" charset="0"/>
              <a:ea typeface="Times New Roman" panose="02020603050405020304" pitchFamily="18" charset="0"/>
              <a:cs typeface="Times New Roman" panose="02020603050405020304" pitchFamily="18" charset="0"/>
            </a:rPr>
            <a:t>odule Update</a:t>
          </a:r>
          <a:endParaRPr lang="en-US" sz="2200" kern="1400" cap="none" spc="-100" baseline="0">
            <a:solidFill>
              <a:srgbClr val="000000"/>
            </a:solidFill>
            <a:effectLst/>
            <a:latin typeface="Calibri Light" panose="020F0302020204030204" pitchFamily="34" charset="0"/>
            <a:ea typeface="Times New Roman" panose="02020603050405020304" pitchFamily="18" charset="0"/>
            <a:cs typeface="Times New Roman" panose="02020603050405020304" pitchFamily="18" charset="0"/>
          </a:endParaRPr>
        </a:p>
      </xdr:txBody>
    </xdr:sp>
    <xdr:clientData/>
  </xdr:twoCellAnchor>
  <xdr:twoCellAnchor editAs="oneCell">
    <xdr:from>
      <xdr:col>0</xdr:col>
      <xdr:colOff>320789</xdr:colOff>
      <xdr:row>7</xdr:row>
      <xdr:rowOff>382701</xdr:rowOff>
    </xdr:from>
    <xdr:to>
      <xdr:col>8</xdr:col>
      <xdr:colOff>1494</xdr:colOff>
      <xdr:row>18</xdr:row>
      <xdr:rowOff>71256</xdr:rowOff>
    </xdr:to>
    <xdr:pic>
      <xdr:nvPicPr>
        <xdr:cNvPr id="3" name="image1.jpeg">
          <a:extLst>
            <a:ext uri="{FF2B5EF4-FFF2-40B4-BE49-F238E27FC236}">
              <a16:creationId xmlns:a16="http://schemas.microsoft.com/office/drawing/2014/main" id="{57641860-EBB5-CF5B-EC51-5D040BF08243}"/>
            </a:ext>
          </a:extLst>
        </xdr:cNvPr>
        <xdr:cNvPicPr>
          <a:picLocks noChangeAspect="1"/>
        </xdr:cNvPicPr>
      </xdr:nvPicPr>
      <xdr:blipFill>
        <a:blip xmlns:r="http://schemas.openxmlformats.org/officeDocument/2006/relationships" r:embed="rId1" cstate="print"/>
        <a:stretch>
          <a:fillRect/>
        </a:stretch>
      </xdr:blipFill>
      <xdr:spPr>
        <a:xfrm>
          <a:off x="320789" y="1445759"/>
          <a:ext cx="4579276" cy="3439024"/>
        </a:xfrm>
        <a:prstGeom prst="rect">
          <a:avLst/>
        </a:prstGeom>
      </xdr:spPr>
    </xdr:pic>
    <xdr:clientData/>
  </xdr:twoCellAnchor>
  <xdr:twoCellAnchor editAs="oneCell">
    <xdr:from>
      <xdr:col>0</xdr:col>
      <xdr:colOff>272144</xdr:colOff>
      <xdr:row>0</xdr:row>
      <xdr:rowOff>170090</xdr:rowOff>
    </xdr:from>
    <xdr:to>
      <xdr:col>8</xdr:col>
      <xdr:colOff>51027</xdr:colOff>
      <xdr:row>7</xdr:row>
      <xdr:rowOff>125172</xdr:rowOff>
    </xdr:to>
    <xdr:pic>
      <xdr:nvPicPr>
        <xdr:cNvPr id="4" name="Picture 3">
          <a:extLst>
            <a:ext uri="{FF2B5EF4-FFF2-40B4-BE49-F238E27FC236}">
              <a16:creationId xmlns:a16="http://schemas.microsoft.com/office/drawing/2014/main" id="{DEAFEFF7-CDA7-ADBC-0074-03FE32E412E4}"/>
            </a:ext>
          </a:extLst>
        </xdr:cNvPr>
        <xdr:cNvPicPr>
          <a:picLocks noChangeAspect="1"/>
        </xdr:cNvPicPr>
      </xdr:nvPicPr>
      <xdr:blipFill>
        <a:blip xmlns:r="http://schemas.openxmlformats.org/officeDocument/2006/relationships" r:embed="rId2"/>
        <a:stretch>
          <a:fillRect/>
        </a:stretch>
      </xdr:blipFill>
      <xdr:spPr>
        <a:xfrm>
          <a:off x="272144" y="170090"/>
          <a:ext cx="4677454" cy="10181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UDGET/Area%20Plans/2026%20Area%20Plan/Final%20Documents/PSA5%202026%20Area%20Plan%20Contract%20Module%20RV1%2011.05.25.xlsm" TargetMode="External"/><Relationship Id="rId2" Type="http://schemas.openxmlformats.org/officeDocument/2006/relationships/externalLinkPath" Target="file:///F:\BUDGET\Area%20Plans\2026%20Area%20Plan\Final%20Documents\PSA5%202026%20Area%20Plan%20Contract%20Module%20RV1%2011.05.25.xlsm" TargetMode="External"/><Relationship Id="rId1" Type="http://schemas.openxmlformats.org/officeDocument/2006/relationships/externalLinkPath" Target="/BUDGET/Area%20Plans/2026%20Area%20Plan/Final%20Documents/PSA5%202026%20Area%20Plan%20Contract%20Module%20RV1%2011.05.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itle Page"/>
      <sheetName val="About This File"/>
      <sheetName val="C.I.A."/>
      <sheetName val="C.I.B."/>
      <sheetName val="C.I.C."/>
      <sheetName val="C.I.E."/>
      <sheetName val="C.I.E. Crosswalk"/>
      <sheetName val="Cost Analysis"/>
      <sheetName val="C.II.A."/>
      <sheetName val="C.II.B."/>
      <sheetName val="C.II.C."/>
      <sheetName val="C.III"/>
      <sheetName val="C.IV"/>
      <sheetName val="Attachments"/>
    </sheetNames>
    <sheetDataSet>
      <sheetData sheetId="0"/>
      <sheetData sheetId="1"/>
      <sheetData sheetId="2">
        <row r="1">
          <cell r="A1" t="str">
            <v xml:space="preserve">PSA:   5                Original Submission Date:                                     </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M41"/>
  <sheetViews>
    <sheetView showGridLines="0" view="pageBreakPreview" topLeftCell="A14" zoomScale="112" zoomScaleNormal="50" zoomScaleSheetLayoutView="112" zoomScalePageLayoutView="50" workbookViewId="0">
      <selection activeCell="K8" sqref="K8"/>
    </sheetView>
  </sheetViews>
  <sheetFormatPr defaultColWidth="9.140625" defaultRowHeight="15" customHeight="1"/>
  <cols>
    <col min="1" max="2" width="9.140625" style="28"/>
    <col min="3" max="4" width="9.140625" style="28" customWidth="1"/>
    <col min="5" max="8" width="9.140625" style="28"/>
    <col min="9" max="9" width="11.28515625" style="28" customWidth="1"/>
    <col min="10" max="16384" width="9.140625" style="28"/>
  </cols>
  <sheetData>
    <row r="1" spans="1:13" ht="15" customHeight="1">
      <c r="J1" s="325"/>
    </row>
    <row r="2" spans="1:13" ht="15.75"/>
    <row r="3" spans="1:13" ht="15" customHeight="1">
      <c r="A3" s="178"/>
      <c r="B3" s="178"/>
      <c r="C3" s="178"/>
      <c r="D3" s="178"/>
      <c r="E3" s="178"/>
      <c r="F3" s="178"/>
      <c r="G3" s="178"/>
      <c r="H3" s="178"/>
      <c r="I3" s="178"/>
    </row>
    <row r="4" spans="1:13" ht="15" customHeight="1">
      <c r="A4" s="178"/>
      <c r="B4" s="178"/>
      <c r="C4" s="178"/>
      <c r="D4" s="178"/>
      <c r="E4" s="178"/>
      <c r="F4" s="178"/>
      <c r="G4" s="178"/>
      <c r="H4" s="178"/>
      <c r="I4" s="178"/>
    </row>
    <row r="5" spans="1:13" ht="15" customHeight="1">
      <c r="A5" s="178"/>
      <c r="B5" s="178"/>
      <c r="C5" s="178"/>
      <c r="D5" s="178"/>
      <c r="E5" s="178"/>
      <c r="F5" s="178"/>
      <c r="G5" s="178"/>
      <c r="H5" s="178"/>
      <c r="I5" s="178"/>
    </row>
    <row r="6" spans="1:13" ht="9" customHeight="1">
      <c r="A6" s="179"/>
      <c r="B6" s="179"/>
      <c r="C6" s="179"/>
      <c r="D6" s="179"/>
      <c r="E6" s="179"/>
      <c r="F6" s="178"/>
      <c r="G6" s="178"/>
      <c r="H6" s="178"/>
      <c r="I6" s="178"/>
    </row>
    <row r="7" spans="1:13" ht="15" hidden="1" customHeight="1">
      <c r="A7" s="178"/>
      <c r="B7" s="178"/>
      <c r="C7" s="178"/>
      <c r="D7" s="178"/>
      <c r="E7" s="178"/>
      <c r="F7" s="178"/>
      <c r="G7" s="178"/>
      <c r="H7" s="178"/>
      <c r="I7" s="178"/>
    </row>
    <row r="8" spans="1:13" ht="45.75" customHeight="1">
      <c r="A8" s="178"/>
      <c r="B8" s="178"/>
      <c r="C8" s="178"/>
      <c r="D8" s="178"/>
      <c r="E8" s="178"/>
      <c r="F8" s="178"/>
      <c r="G8" s="178"/>
      <c r="H8" s="178"/>
      <c r="I8" s="178"/>
    </row>
    <row r="9" spans="1:13" ht="15" customHeight="1">
      <c r="A9" s="178"/>
      <c r="B9" s="178"/>
      <c r="C9" s="178"/>
      <c r="D9" s="178"/>
      <c r="E9" s="178"/>
      <c r="F9" s="178"/>
      <c r="G9" s="178"/>
      <c r="H9" s="178"/>
      <c r="I9" s="178"/>
    </row>
    <row r="10" spans="1:13" ht="33">
      <c r="A10" s="180"/>
      <c r="B10" s="180"/>
      <c r="C10" s="180"/>
      <c r="D10" s="180"/>
      <c r="E10" s="180"/>
      <c r="F10" s="180"/>
      <c r="G10" s="180"/>
      <c r="H10" s="180"/>
      <c r="I10" s="180"/>
    </row>
    <row r="11" spans="1:13" ht="7.5" customHeight="1">
      <c r="A11" s="180"/>
      <c r="B11" s="180"/>
      <c r="C11" s="180"/>
      <c r="D11" s="180"/>
      <c r="E11" s="180"/>
      <c r="F11" s="180"/>
      <c r="G11" s="180"/>
      <c r="H11" s="178"/>
      <c r="I11" s="178"/>
    </row>
    <row r="12" spans="1:13" ht="33">
      <c r="A12" s="180"/>
      <c r="B12" s="180"/>
      <c r="C12" s="180"/>
      <c r="D12" s="180"/>
      <c r="E12" s="180"/>
      <c r="F12" s="180"/>
      <c r="G12" s="180"/>
      <c r="H12" s="180"/>
      <c r="I12" s="180"/>
    </row>
    <row r="13" spans="1:13" ht="15" customHeight="1">
      <c r="A13" s="178"/>
      <c r="B13" s="178"/>
      <c r="C13" s="178"/>
      <c r="D13" s="178"/>
      <c r="E13" s="178"/>
      <c r="F13" s="178"/>
      <c r="G13" s="178"/>
      <c r="H13" s="178"/>
      <c r="I13" s="178"/>
    </row>
    <row r="14" spans="1:13" ht="51" customHeight="1">
      <c r="A14" s="1"/>
      <c r="B14" s="1"/>
      <c r="C14" s="1"/>
      <c r="D14" s="186"/>
      <c r="E14" s="186"/>
      <c r="F14" s="186"/>
      <c r="G14" s="186"/>
      <c r="H14" s="186"/>
      <c r="I14" s="186"/>
      <c r="J14" s="186"/>
      <c r="K14" s="186"/>
      <c r="L14" s="186"/>
      <c r="M14" s="186"/>
    </row>
    <row r="15" spans="1:13" ht="33.75">
      <c r="A15" s="183"/>
      <c r="B15" s="182"/>
      <c r="C15" s="183"/>
      <c r="D15" s="183"/>
      <c r="E15" s="183"/>
      <c r="F15" s="183"/>
      <c r="G15" s="183"/>
      <c r="H15" s="178"/>
      <c r="I15" s="178"/>
    </row>
    <row r="16" spans="1:13" s="176" customFormat="1" ht="33.75">
      <c r="A16" s="184"/>
      <c r="B16" s="181"/>
      <c r="C16" s="184"/>
      <c r="D16" s="184"/>
      <c r="E16" s="184"/>
      <c r="F16" s="184"/>
      <c r="G16" s="184"/>
      <c r="H16" s="184"/>
      <c r="I16" s="184"/>
    </row>
    <row r="17" spans="1:9" ht="15" customHeight="1">
      <c r="A17" s="178"/>
      <c r="B17" s="178"/>
      <c r="C17" s="178"/>
      <c r="D17" s="178"/>
      <c r="E17" s="178"/>
      <c r="F17" s="178"/>
      <c r="G17" s="178"/>
      <c r="H17" s="178"/>
      <c r="I17" s="178"/>
    </row>
    <row r="18" spans="1:9" ht="15" customHeight="1">
      <c r="A18" s="178"/>
      <c r="B18" s="178"/>
      <c r="C18" s="178"/>
      <c r="D18" s="178"/>
      <c r="E18" s="178"/>
      <c r="F18" s="178"/>
      <c r="G18" s="178"/>
      <c r="H18" s="178"/>
      <c r="I18" s="178"/>
    </row>
    <row r="19" spans="1:9" ht="15" customHeight="1">
      <c r="A19" s="178"/>
      <c r="B19" s="178"/>
      <c r="C19" s="178"/>
      <c r="D19" s="178"/>
      <c r="E19" s="178"/>
      <c r="F19" s="178"/>
      <c r="G19" s="178"/>
      <c r="H19" s="178"/>
      <c r="I19" s="178"/>
    </row>
    <row r="20" spans="1:9" ht="15" customHeight="1">
      <c r="A20" s="178"/>
      <c r="B20" s="178"/>
      <c r="C20" s="178"/>
      <c r="D20" s="178"/>
      <c r="E20" s="178"/>
      <c r="F20" s="178"/>
      <c r="G20" s="178"/>
      <c r="H20" s="178"/>
      <c r="I20" s="178"/>
    </row>
    <row r="24" spans="1:9" ht="15" customHeight="1">
      <c r="D24" s="185"/>
    </row>
    <row r="25" spans="1:9" ht="15" customHeight="1">
      <c r="A25" s="245"/>
      <c r="D25" s="187"/>
    </row>
    <row r="38" spans="5:6" ht="15" customHeight="1">
      <c r="E38"/>
      <c r="F38"/>
    </row>
    <row r="39" spans="5:6" ht="15" customHeight="1">
      <c r="E39"/>
      <c r="F39"/>
    </row>
    <row r="40" spans="5:6" ht="15" customHeight="1">
      <c r="E40"/>
      <c r="F40"/>
    </row>
    <row r="41" spans="5:6" ht="15" customHeight="1">
      <c r="E41"/>
      <c r="F41"/>
    </row>
  </sheetData>
  <customSheetViews>
    <customSheetView guid="{141D05B7-EC03-4D54-B355-18B30B95005C}" showPageBreaks="1" showGridLines="0" hiddenRows="1" view="pageLayout" topLeftCell="A16">
      <selection activeCell="E28" sqref="E28"/>
      <pageMargins left="0" right="0" top="0" bottom="0" header="0" footer="0"/>
      <pageSetup scale="85" orientation="portrait" r:id="rId1"/>
      <headerFooter alignWithMargins="0"/>
    </customSheetView>
    <customSheetView guid="{9D049D41-B99B-4004-9128-98F3E5E97A8B}" showPageBreaks="1" showGridLines="0" hiddenRows="1" view="pageLayout" topLeftCell="A16">
      <selection activeCell="E28" sqref="E28"/>
      <pageMargins left="0" right="0" top="0" bottom="0" header="0" footer="0"/>
      <pageSetup scale="85" orientation="portrait" r:id="rId2"/>
      <headerFooter alignWithMargins="0"/>
    </customSheetView>
  </customSheetViews>
  <phoneticPr fontId="0" type="noConversion"/>
  <printOptions horizontalCentered="1" verticalCentered="1"/>
  <pageMargins left="0.25" right="0.25" top="0.75" bottom="0.75" header="0.3" footer="0.3"/>
  <pageSetup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D62"/>
  <sheetViews>
    <sheetView showGridLines="0" topLeftCell="A16" zoomScaleNormal="100" zoomScaleSheetLayoutView="145" workbookViewId="0">
      <selection activeCell="A22" sqref="A22"/>
    </sheetView>
  </sheetViews>
  <sheetFormatPr defaultColWidth="9.140625" defaultRowHeight="12.75"/>
  <cols>
    <col min="1" max="1" width="81.85546875" style="9" customWidth="1"/>
    <col min="2" max="2" width="8.28515625" style="5" customWidth="1"/>
    <col min="3" max="16384" width="9.140625" style="5"/>
  </cols>
  <sheetData>
    <row r="1" spans="1:2" ht="24" customHeight="1">
      <c r="A1" s="283" t="s">
        <v>0</v>
      </c>
      <c r="B1" s="325"/>
    </row>
    <row r="2" spans="1:2" ht="24" customHeight="1">
      <c r="A2" s="446" t="s">
        <v>1</v>
      </c>
      <c r="B2" s="325"/>
    </row>
    <row r="3" spans="1:2" ht="24" customHeight="1">
      <c r="A3" s="446" t="s">
        <v>2</v>
      </c>
      <c r="B3" s="325"/>
    </row>
    <row r="4" spans="1:2" ht="24" customHeight="1">
      <c r="A4" s="446" t="s">
        <v>3</v>
      </c>
      <c r="B4" s="325"/>
    </row>
    <row r="5" spans="1:2" ht="24" customHeight="1">
      <c r="A5" s="446" t="s">
        <v>4</v>
      </c>
      <c r="B5" s="325"/>
    </row>
    <row r="6" spans="1:2" ht="42.75" customHeight="1">
      <c r="A6" s="446" t="s">
        <v>5</v>
      </c>
      <c r="B6" s="325"/>
    </row>
    <row r="7" spans="1:2" ht="24" customHeight="1">
      <c r="A7" s="446" t="s">
        <v>6</v>
      </c>
      <c r="B7" s="325"/>
    </row>
    <row r="8" spans="1:2" ht="24" customHeight="1">
      <c r="A8" s="446" t="s">
        <v>7</v>
      </c>
      <c r="B8" s="325"/>
    </row>
    <row r="9" spans="1:2" ht="24" customHeight="1">
      <c r="A9" s="446" t="s">
        <v>8</v>
      </c>
      <c r="B9" s="325"/>
    </row>
    <row r="10" spans="1:2" ht="24" customHeight="1">
      <c r="A10" s="446" t="s">
        <v>9</v>
      </c>
      <c r="B10" s="325"/>
    </row>
    <row r="11" spans="1:2" ht="24" customHeight="1">
      <c r="A11" s="446" t="s">
        <v>10</v>
      </c>
      <c r="B11" s="325"/>
    </row>
    <row r="12" spans="1:2" ht="24" customHeight="1">
      <c r="A12" s="446" t="s">
        <v>11</v>
      </c>
      <c r="B12" s="325"/>
    </row>
    <row r="13" spans="1:2" ht="24" customHeight="1">
      <c r="A13" s="446" t="s">
        <v>12</v>
      </c>
      <c r="B13" s="325"/>
    </row>
    <row r="14" spans="1:2" ht="24" customHeight="1">
      <c r="A14" s="446"/>
      <c r="B14" s="325"/>
    </row>
    <row r="15" spans="1:2" s="6" customFormat="1" ht="162" customHeight="1">
      <c r="A15" s="284" t="s">
        <v>13</v>
      </c>
    </row>
    <row r="16" spans="1:2" s="6" customFormat="1" ht="120" customHeight="1">
      <c r="A16" s="472" t="s">
        <v>14</v>
      </c>
    </row>
    <row r="17" spans="1:3" s="6" customFormat="1" ht="70.5" customHeight="1">
      <c r="A17" s="472" t="s">
        <v>15</v>
      </c>
    </row>
    <row r="18" spans="1:3" s="6" customFormat="1" ht="15.75">
      <c r="A18" s="285" t="s">
        <v>16</v>
      </c>
    </row>
    <row r="19" spans="1:3" s="291" customFormat="1" ht="15.75">
      <c r="A19" s="290" t="s">
        <v>17</v>
      </c>
    </row>
    <row r="20" spans="1:3" s="6" customFormat="1" ht="32.25" customHeight="1">
      <c r="A20" s="286" t="s">
        <v>18</v>
      </c>
      <c r="B20" s="5"/>
      <c r="C20" s="5"/>
    </row>
    <row r="21" spans="1:3" s="6" customFormat="1" ht="43.5" customHeight="1">
      <c r="A21" s="287" t="s">
        <v>19</v>
      </c>
      <c r="B21" s="5"/>
      <c r="C21" s="5"/>
    </row>
    <row r="22" spans="1:3" s="6" customFormat="1" ht="32.25" customHeight="1">
      <c r="A22" s="288" t="s">
        <v>20</v>
      </c>
      <c r="B22" s="5"/>
      <c r="C22" s="5"/>
    </row>
    <row r="23" spans="1:3" ht="32.25" customHeight="1">
      <c r="A23" s="289" t="s">
        <v>21</v>
      </c>
    </row>
    <row r="24" spans="1:3" s="6" customFormat="1" ht="15.75">
      <c r="A24"/>
    </row>
    <row r="25" spans="1:3" s="6" customFormat="1" ht="15.75">
      <c r="A25" s="8"/>
    </row>
    <row r="26" spans="1:3" s="6" customFormat="1" ht="15.75">
      <c r="A26" s="8"/>
    </row>
    <row r="59" spans="3:4">
      <c r="C59"/>
      <c r="D59"/>
    </row>
    <row r="60" spans="3:4">
      <c r="C60"/>
      <c r="D60"/>
    </row>
    <row r="61" spans="3:4">
      <c r="C61"/>
      <c r="D61"/>
    </row>
    <row r="62" spans="3:4">
      <c r="C62"/>
      <c r="D62"/>
    </row>
  </sheetData>
  <customSheetViews>
    <customSheetView guid="{141D05B7-EC03-4D54-B355-18B30B95005C}" showPageBreaks="1" showGridLines="0" topLeftCell="A10">
      <selection activeCell="C5" sqref="C5"/>
      <pageMargins left="0" right="0" top="0" bottom="0" header="0" footer="0"/>
      <pageSetup scale="85" orientation="portrait" r:id="rId1"/>
      <headerFooter alignWithMargins="0">
        <oddFooter>&amp;C&amp;"Times New Roman,Regular"Page &amp;P</oddFooter>
      </headerFooter>
    </customSheetView>
    <customSheetView guid="{9D049D41-B99B-4004-9128-98F3E5E97A8B}" showPageBreaks="1" showGridLines="0" topLeftCell="A10">
      <selection activeCell="C5" sqref="C5"/>
      <pageMargins left="0" right="0" top="0" bottom="0" header="0" footer="0"/>
      <pageSetup scale="85" orientation="portrait" r:id="rId2"/>
      <headerFooter alignWithMargins="0">
        <oddFooter>&amp;C&amp;"Times New Roman,Regular"Page &amp;P</oddFooter>
      </headerFooter>
    </customSheetView>
  </customSheetViews>
  <phoneticPr fontId="0" type="noConversion"/>
  <printOptions horizontalCentered="1"/>
  <pageMargins left="0.25" right="0.25" top="0.75" bottom="0.75" header="0.3" footer="0.3"/>
  <pageSetup scale="80" orientation="portrait" r:id="rId3"/>
  <headerFooter alignWithMargins="0">
    <oddFooter>&amp;C&amp;"Times New Roman,Regular"Page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M48"/>
  <sheetViews>
    <sheetView showGridLines="0" topLeftCell="A8" zoomScale="140" zoomScaleNormal="140" zoomScaleSheetLayoutView="100" workbookViewId="0">
      <selection activeCell="C18" sqref="C18"/>
    </sheetView>
  </sheetViews>
  <sheetFormatPr defaultRowHeight="12.75"/>
  <cols>
    <col min="1" max="1" width="27.85546875" customWidth="1"/>
    <col min="2" max="2" width="14.140625" customWidth="1"/>
    <col min="3" max="3" width="13.7109375" bestFit="1" customWidth="1"/>
    <col min="4" max="4" width="15.85546875" customWidth="1"/>
    <col min="5" max="5" width="13.7109375" bestFit="1" customWidth="1"/>
    <col min="6" max="6" width="15.5703125" customWidth="1"/>
    <col min="7" max="7" width="14" customWidth="1"/>
    <col min="8" max="8" width="13.28515625" customWidth="1"/>
    <col min="9" max="9" width="14" customWidth="1"/>
    <col min="10" max="10" width="11.7109375" customWidth="1"/>
    <col min="11" max="11" width="14.85546875" customWidth="1"/>
    <col min="12" max="12" width="13.140625" customWidth="1"/>
    <col min="13" max="13" width="9.7109375" bestFit="1" customWidth="1"/>
  </cols>
  <sheetData>
    <row r="1" spans="1:13">
      <c r="A1" s="5" t="s">
        <v>22</v>
      </c>
      <c r="M1" s="325" t="s">
        <v>23</v>
      </c>
    </row>
    <row r="2" spans="1:13" ht="6" customHeight="1"/>
    <row r="3" spans="1:13" s="5" customFormat="1" ht="21" customHeight="1">
      <c r="A3" s="485" t="s">
        <v>24</v>
      </c>
    </row>
    <row r="4" spans="1:13" s="5" customFormat="1" ht="58.5" customHeight="1">
      <c r="A4" s="930" t="s">
        <v>25</v>
      </c>
      <c r="B4" s="931"/>
      <c r="C4" s="931"/>
      <c r="D4" s="931"/>
      <c r="E4" s="931"/>
      <c r="F4" s="931"/>
      <c r="G4" s="931"/>
      <c r="H4" s="931"/>
      <c r="I4" s="931"/>
      <c r="J4" s="931"/>
      <c r="K4" s="931"/>
      <c r="L4" s="931"/>
    </row>
    <row r="5" spans="1:13" s="112" customFormat="1" ht="108" customHeight="1">
      <c r="A5" s="932" t="s">
        <v>26</v>
      </c>
      <c r="B5" s="933"/>
      <c r="C5" s="933"/>
      <c r="D5" s="933"/>
      <c r="E5" s="933"/>
      <c r="F5" s="933"/>
      <c r="G5" s="933"/>
      <c r="H5" s="933"/>
      <c r="I5" s="933"/>
      <c r="J5" s="933"/>
      <c r="K5" s="933"/>
      <c r="L5" s="933"/>
    </row>
    <row r="6" spans="1:13" s="5" customFormat="1" ht="127.5" customHeight="1">
      <c r="A6" s="940" t="s">
        <v>27</v>
      </c>
      <c r="B6" s="941"/>
      <c r="C6" s="941"/>
      <c r="D6" s="941"/>
      <c r="E6" s="941"/>
      <c r="F6" s="941"/>
      <c r="G6" s="941"/>
      <c r="H6" s="941"/>
      <c r="I6" s="941"/>
      <c r="J6" s="941"/>
      <c r="K6" s="941"/>
      <c r="L6" s="942"/>
    </row>
    <row r="7" spans="1:13" ht="7.5" customHeight="1"/>
    <row r="8" spans="1:13" s="1" customFormat="1" ht="16.5" customHeight="1">
      <c r="A8" s="934" t="s">
        <v>28</v>
      </c>
      <c r="B8" s="934"/>
      <c r="C8" s="934"/>
      <c r="D8" s="934"/>
      <c r="E8" s="934"/>
      <c r="F8" s="934"/>
      <c r="G8" s="934"/>
      <c r="H8" s="934"/>
      <c r="I8" s="934"/>
      <c r="J8" s="934"/>
      <c r="K8" s="934"/>
      <c r="L8" s="934"/>
    </row>
    <row r="9" spans="1:13" ht="6" customHeight="1" thickBot="1"/>
    <row r="10" spans="1:13" ht="15" customHeight="1" thickTop="1">
      <c r="A10" s="250" t="s">
        <v>29</v>
      </c>
      <c r="B10" s="251" t="s">
        <v>30</v>
      </c>
      <c r="C10" s="252" t="s">
        <v>31</v>
      </c>
      <c r="D10" s="251" t="s">
        <v>31</v>
      </c>
      <c r="E10" s="252" t="s">
        <v>31</v>
      </c>
      <c r="F10" s="251" t="s">
        <v>32</v>
      </c>
      <c r="G10" s="303" t="s">
        <v>31</v>
      </c>
      <c r="H10" s="253" t="s">
        <v>31</v>
      </c>
      <c r="I10" s="251"/>
      <c r="J10" s="252" t="s">
        <v>31</v>
      </c>
      <c r="K10" s="254" t="s">
        <v>33</v>
      </c>
    </row>
    <row r="11" spans="1:13" ht="15" customHeight="1" thickBot="1">
      <c r="A11" s="255" t="s">
        <v>34</v>
      </c>
      <c r="B11" s="256" t="s">
        <v>35</v>
      </c>
      <c r="C11" s="257" t="s">
        <v>36</v>
      </c>
      <c r="D11" s="256" t="s">
        <v>37</v>
      </c>
      <c r="E11" s="257" t="s">
        <v>38</v>
      </c>
      <c r="F11" s="256" t="s">
        <v>39</v>
      </c>
      <c r="G11" s="258" t="s">
        <v>40</v>
      </c>
      <c r="H11" s="302" t="s">
        <v>41</v>
      </c>
      <c r="I11" s="256" t="s">
        <v>42</v>
      </c>
      <c r="J11" s="257" t="s">
        <v>43</v>
      </c>
      <c r="K11" s="259" t="s">
        <v>44</v>
      </c>
    </row>
    <row r="12" spans="1:13" ht="26.25">
      <c r="A12" s="31" t="s">
        <v>45</v>
      </c>
      <c r="B12" s="149">
        <v>900792</v>
      </c>
      <c r="C12" s="150">
        <v>2137193</v>
      </c>
      <c r="D12" s="150">
        <v>2868435</v>
      </c>
      <c r="E12" s="150">
        <v>1934647</v>
      </c>
      <c r="F12" s="33"/>
      <c r="G12" s="150">
        <v>168886</v>
      </c>
      <c r="H12" s="150">
        <v>917260</v>
      </c>
      <c r="I12" s="150">
        <v>234489</v>
      </c>
      <c r="J12" s="150">
        <v>21266.91</v>
      </c>
      <c r="K12" s="163">
        <f>SUM(B12:E12)+SUM(G12:I12)</f>
        <v>9161702</v>
      </c>
      <c r="L12" s="330"/>
    </row>
    <row r="13" spans="1:13" ht="26.25">
      <c r="A13" s="32" t="s">
        <v>46</v>
      </c>
      <c r="B13" s="151">
        <v>0</v>
      </c>
      <c r="C13" s="151">
        <v>0</v>
      </c>
      <c r="D13" s="151">
        <v>0</v>
      </c>
      <c r="E13" s="151">
        <v>0</v>
      </c>
      <c r="F13" s="30"/>
      <c r="G13" s="151">
        <v>0</v>
      </c>
      <c r="H13" s="151">
        <v>0</v>
      </c>
      <c r="I13" s="151">
        <v>0</v>
      </c>
      <c r="J13" s="151">
        <v>0</v>
      </c>
      <c r="K13" s="163">
        <f>SUM(B13:E13)+SUM(G13:I13)</f>
        <v>0</v>
      </c>
    </row>
    <row r="14" spans="1:13" ht="26.25">
      <c r="A14" s="31" t="s">
        <v>47</v>
      </c>
      <c r="B14" s="27"/>
      <c r="C14" s="152"/>
      <c r="D14" s="152">
        <v>-2157115.6</v>
      </c>
      <c r="E14" s="152"/>
      <c r="F14" s="124">
        <f>SUM(B14:E14)</f>
        <v>-2157115.6</v>
      </c>
      <c r="G14" s="27"/>
      <c r="H14" s="27"/>
      <c r="I14" s="27"/>
      <c r="J14" s="27"/>
      <c r="K14" s="164">
        <f>SUM(B14:E14)</f>
        <v>-2157115.6</v>
      </c>
    </row>
    <row r="15" spans="1:13" ht="26.25">
      <c r="A15" s="32" t="s">
        <v>48</v>
      </c>
      <c r="B15" s="36"/>
      <c r="C15" s="152">
        <v>1078906</v>
      </c>
      <c r="D15" s="152"/>
      <c r="E15" s="152">
        <v>1078209.6000000001</v>
      </c>
      <c r="F15" s="124">
        <f>SUM(B15:E15)</f>
        <v>2157115.6</v>
      </c>
      <c r="G15" s="36"/>
      <c r="H15" s="36"/>
      <c r="I15" s="36"/>
      <c r="J15" s="36"/>
      <c r="K15" s="164">
        <f>SUM(B15:E15)</f>
        <v>2157115.6</v>
      </c>
    </row>
    <row r="16" spans="1:13" ht="26.25">
      <c r="A16" s="32" t="s">
        <v>49</v>
      </c>
      <c r="B16" s="125">
        <f>SUM(B12:B15)</f>
        <v>900792</v>
      </c>
      <c r="C16" s="125">
        <f>SUM(C12:C15)</f>
        <v>3216099</v>
      </c>
      <c r="D16" s="125">
        <f>SUM(D12:D15)</f>
        <v>711319.39999999991</v>
      </c>
      <c r="E16" s="125">
        <f>SUM(E12:E15)</f>
        <v>3012856.6</v>
      </c>
      <c r="F16" s="27"/>
      <c r="G16" s="124">
        <f>SUM(G12:G15)</f>
        <v>168886</v>
      </c>
      <c r="H16" s="124">
        <f>SUM(H12:H15)</f>
        <v>917260</v>
      </c>
      <c r="I16" s="124">
        <f>SUM(I12:I15)</f>
        <v>234489</v>
      </c>
      <c r="J16" s="124">
        <f>SUM(J12:J15)</f>
        <v>21266.91</v>
      </c>
      <c r="K16" s="164">
        <f>SUM(B16:E16)+SUM(G16:I16)</f>
        <v>9161702</v>
      </c>
    </row>
    <row r="17" spans="1:12" ht="29.25" customHeight="1">
      <c r="A17" s="31" t="s">
        <v>50</v>
      </c>
      <c r="B17" s="370"/>
      <c r="C17" s="370"/>
      <c r="D17" s="370"/>
      <c r="E17" s="370"/>
      <c r="F17" s="371"/>
      <c r="G17" s="372"/>
      <c r="H17" s="370"/>
      <c r="I17" s="370"/>
      <c r="J17" s="370"/>
      <c r="K17" s="373">
        <f>SUM(B17:J17)</f>
        <v>0</v>
      </c>
    </row>
    <row r="18" spans="1:12" ht="19.899999999999999" customHeight="1" thickTop="1" thickBot="1">
      <c r="A18" s="3" t="s">
        <v>51</v>
      </c>
      <c r="B18" s="126">
        <f>B16+B17</f>
        <v>900792</v>
      </c>
      <c r="C18" s="126">
        <f>C16+C17</f>
        <v>3216099</v>
      </c>
      <c r="D18" s="126">
        <f>D16+D17</f>
        <v>711319.39999999991</v>
      </c>
      <c r="E18" s="126">
        <f>E16+E17</f>
        <v>3012856.6</v>
      </c>
      <c r="F18" s="126">
        <f>F14+F15</f>
        <v>0</v>
      </c>
      <c r="G18" s="126">
        <f>G16+G17</f>
        <v>168886</v>
      </c>
      <c r="H18" s="126">
        <f>H16+H17</f>
        <v>917260</v>
      </c>
      <c r="I18" s="126">
        <f>I16+I17</f>
        <v>234489</v>
      </c>
      <c r="J18" s="126">
        <f>J16+J17</f>
        <v>21266.91</v>
      </c>
      <c r="K18" s="165">
        <f>SUM(B18:I18)</f>
        <v>9161702</v>
      </c>
    </row>
    <row r="19" spans="1:12" ht="13.5" thickTop="1"/>
    <row r="20" spans="1:12" s="5" customFormat="1" ht="15.75">
      <c r="B20" s="18" t="s">
        <v>52</v>
      </c>
      <c r="C20" s="304">
        <v>175623</v>
      </c>
      <c r="D20" s="6" t="s">
        <v>53</v>
      </c>
      <c r="E20" s="6"/>
    </row>
    <row r="21" spans="1:12" s="5" customFormat="1" ht="16.5" thickBot="1">
      <c r="B21" s="18" t="s">
        <v>54</v>
      </c>
      <c r="C21" s="305">
        <v>3738</v>
      </c>
      <c r="D21" s="306">
        <v>5608</v>
      </c>
      <c r="E21" s="306">
        <v>5608</v>
      </c>
      <c r="F21" s="6" t="s">
        <v>55</v>
      </c>
    </row>
    <row r="22" spans="1:12" s="5" customFormat="1" ht="15" customHeight="1" thickTop="1" thickBot="1">
      <c r="A22" s="29"/>
      <c r="B22" s="18" t="s">
        <v>56</v>
      </c>
      <c r="C22" s="126">
        <f>C18-C20-C21</f>
        <v>3036738</v>
      </c>
      <c r="D22" s="126">
        <f>D18-D21</f>
        <v>705711.39999999991</v>
      </c>
      <c r="E22" s="126">
        <f>E18-E21</f>
        <v>3007248.6</v>
      </c>
    </row>
    <row r="23" spans="1:12" ht="16.5" thickTop="1">
      <c r="A23" s="4"/>
      <c r="B23" s="7"/>
      <c r="C23" s="2"/>
      <c r="D23" s="2"/>
    </row>
    <row r="24" spans="1:12" s="11" customFormat="1" ht="15.75">
      <c r="A24" s="15"/>
      <c r="B24" s="16"/>
      <c r="C24" s="17"/>
      <c r="D24" s="17"/>
      <c r="H24"/>
      <c r="I24"/>
      <c r="J24"/>
      <c r="K24"/>
      <c r="L24"/>
    </row>
    <row r="25" spans="1:12" s="1" customFormat="1" ht="18.75">
      <c r="A25" s="934" t="s">
        <v>57</v>
      </c>
      <c r="B25" s="934"/>
      <c r="C25" s="934"/>
      <c r="D25" s="934"/>
      <c r="E25" s="934"/>
      <c r="F25" s="934"/>
      <c r="G25" s="934"/>
      <c r="H25" s="934"/>
      <c r="I25" s="934"/>
      <c r="J25" s="934"/>
      <c r="K25" s="934"/>
      <c r="L25" s="934"/>
    </row>
    <row r="26" spans="1:12" ht="36" customHeight="1">
      <c r="A26" s="920" t="s">
        <v>58</v>
      </c>
      <c r="B26" s="920"/>
      <c r="C26" s="920"/>
      <c r="D26" s="920"/>
      <c r="E26" s="920"/>
      <c r="F26" s="920"/>
      <c r="G26" s="920"/>
      <c r="H26" s="920"/>
      <c r="I26" s="920"/>
      <c r="J26" s="920"/>
      <c r="K26" s="920"/>
      <c r="L26" s="920"/>
    </row>
    <row r="27" spans="1:12" ht="19.5" customHeight="1" thickBot="1">
      <c r="A27" s="6"/>
    </row>
    <row r="28" spans="1:12" ht="30.75" customHeight="1" thickTop="1" thickBot="1">
      <c r="A28" s="937" t="s">
        <v>59</v>
      </c>
      <c r="B28" s="938"/>
      <c r="C28" s="938"/>
      <c r="D28" s="939"/>
      <c r="E28" s="1"/>
      <c r="F28" s="1"/>
      <c r="G28" s="921" t="s">
        <v>60</v>
      </c>
      <c r="H28" s="922"/>
      <c r="I28" s="922"/>
      <c r="J28" s="922"/>
      <c r="K28" s="923"/>
    </row>
    <row r="29" spans="1:12" ht="13.5" customHeight="1" thickTop="1">
      <c r="A29" s="935" t="s">
        <v>61</v>
      </c>
      <c r="B29" s="1206"/>
      <c r="C29" s="1207"/>
      <c r="D29" s="246" t="s">
        <v>62</v>
      </c>
      <c r="G29" s="935" t="s">
        <v>63</v>
      </c>
      <c r="H29" s="946"/>
      <c r="I29" s="946"/>
      <c r="J29" s="947"/>
      <c r="K29" s="248" t="s">
        <v>39</v>
      </c>
    </row>
    <row r="30" spans="1:12" ht="13.5" customHeight="1" thickBot="1">
      <c r="A30" s="936"/>
      <c r="B30" s="1208"/>
      <c r="C30" s="1209"/>
      <c r="D30" s="247" t="s">
        <v>64</v>
      </c>
      <c r="G30" s="948"/>
      <c r="H30" s="949"/>
      <c r="I30" s="949"/>
      <c r="J30" s="950"/>
      <c r="K30" s="249" t="s">
        <v>65</v>
      </c>
    </row>
    <row r="31" spans="1:12" ht="25.35" customHeight="1" thickTop="1">
      <c r="A31" s="1210" t="s">
        <v>66</v>
      </c>
      <c r="B31" s="1211"/>
      <c r="C31" s="1212"/>
      <c r="D31" s="146">
        <v>27690</v>
      </c>
      <c r="G31" s="464" t="s">
        <v>67</v>
      </c>
      <c r="H31" s="465"/>
      <c r="I31" s="465"/>
      <c r="J31" s="466"/>
      <c r="K31" s="147">
        <f>96682.38+96682.37</f>
        <v>193364.75</v>
      </c>
    </row>
    <row r="32" spans="1:12" ht="25.35" customHeight="1">
      <c r="A32" s="1213" t="s">
        <v>68</v>
      </c>
      <c r="B32" s="1214"/>
      <c r="C32" s="1215"/>
      <c r="D32" s="146">
        <v>68071</v>
      </c>
      <c r="G32" s="464" t="s">
        <v>69</v>
      </c>
      <c r="H32" s="465"/>
      <c r="I32" s="465"/>
      <c r="J32" s="466"/>
      <c r="K32" s="148">
        <f>205197.62+205197.63</f>
        <v>410395.25</v>
      </c>
    </row>
    <row r="33" spans="1:11" ht="25.35" customHeight="1">
      <c r="A33" s="1213" t="s">
        <v>70</v>
      </c>
      <c r="B33" s="1214"/>
      <c r="C33" s="1215"/>
      <c r="D33" s="146">
        <v>10393412</v>
      </c>
      <c r="G33" s="464" t="s">
        <v>71</v>
      </c>
      <c r="H33" s="465"/>
      <c r="I33" s="465"/>
      <c r="J33" s="466"/>
      <c r="K33" s="148">
        <v>349833.99</v>
      </c>
    </row>
    <row r="34" spans="1:11" ht="25.35" customHeight="1">
      <c r="A34" s="1213" t="s">
        <v>72</v>
      </c>
      <c r="B34" s="1214"/>
      <c r="C34" s="1215"/>
      <c r="D34" s="146">
        <v>78002</v>
      </c>
      <c r="G34" s="927" t="s">
        <v>73</v>
      </c>
      <c r="H34" s="928"/>
      <c r="I34" s="928"/>
      <c r="J34" s="929"/>
      <c r="K34" s="148">
        <v>196500</v>
      </c>
    </row>
    <row r="35" spans="1:11" ht="25.35" customHeight="1">
      <c r="A35" s="1213" t="s">
        <v>74</v>
      </c>
      <c r="B35" s="1214"/>
      <c r="C35" s="1215"/>
      <c r="D35" s="146">
        <v>1151644</v>
      </c>
      <c r="G35" s="943" t="s">
        <v>75</v>
      </c>
      <c r="H35" s="944"/>
      <c r="I35" s="944"/>
      <c r="J35" s="945"/>
      <c r="K35" s="148">
        <v>123698.14</v>
      </c>
    </row>
    <row r="36" spans="1:11" ht="25.35" customHeight="1">
      <c r="A36" s="1213" t="s">
        <v>76</v>
      </c>
      <c r="B36" s="1214"/>
      <c r="C36" s="1215"/>
      <c r="D36" s="146">
        <v>89750</v>
      </c>
      <c r="G36" s="461" t="s">
        <v>77</v>
      </c>
      <c r="H36" s="462"/>
      <c r="I36" s="462"/>
      <c r="J36" s="463"/>
      <c r="K36" s="148">
        <v>0</v>
      </c>
    </row>
    <row r="37" spans="1:11" ht="25.35" customHeight="1">
      <c r="A37" s="751"/>
      <c r="B37" s="752"/>
      <c r="C37" s="753"/>
      <c r="D37" s="146"/>
      <c r="G37" s="754" t="s">
        <v>78</v>
      </c>
      <c r="H37" s="462"/>
      <c r="I37" s="462"/>
      <c r="J37" s="462"/>
      <c r="K37" s="148"/>
    </row>
    <row r="38" spans="1:11" ht="25.35" customHeight="1">
      <c r="A38" s="1213" t="s">
        <v>79</v>
      </c>
      <c r="B38" s="1214"/>
      <c r="C38" s="1215"/>
      <c r="D38" s="146">
        <f>4781848+252601</f>
        <v>5034449</v>
      </c>
      <c r="G38" s="951" t="s">
        <v>80</v>
      </c>
      <c r="H38" s="952"/>
      <c r="I38" s="952"/>
      <c r="J38" s="952"/>
      <c r="K38" s="148">
        <v>2864000</v>
      </c>
    </row>
    <row r="39" spans="1:11" ht="25.35" customHeight="1">
      <c r="A39" s="1213" t="s">
        <v>81</v>
      </c>
      <c r="B39" s="1214"/>
      <c r="C39" s="1215"/>
      <c r="D39" s="146">
        <f>105571+1046000+500000-D40</f>
        <v>1617779</v>
      </c>
      <c r="G39" s="924" t="s">
        <v>82</v>
      </c>
      <c r="H39" s="925"/>
      <c r="I39" s="925"/>
      <c r="J39" s="926"/>
      <c r="K39" s="504">
        <v>400000</v>
      </c>
    </row>
    <row r="40" spans="1:11" ht="25.35" customHeight="1">
      <c r="A40" s="1216" t="s">
        <v>83</v>
      </c>
      <c r="B40" s="1217"/>
      <c r="C40" s="1218"/>
      <c r="D40" s="162">
        <v>33792</v>
      </c>
    </row>
    <row r="41" spans="1:11" ht="25.35" customHeight="1">
      <c r="A41" s="329"/>
      <c r="B41" s="329"/>
      <c r="C41" s="329"/>
      <c r="D41" s="330"/>
    </row>
    <row r="42" spans="1:11" ht="25.35" customHeight="1"/>
    <row r="43" spans="1:11" ht="25.35" customHeight="1"/>
    <row r="44" spans="1:11" ht="24.75" customHeight="1"/>
    <row r="45" spans="1:11" ht="24.75" customHeight="1"/>
    <row r="46" spans="1:11" ht="15" customHeight="1"/>
    <row r="47" spans="1:11" ht="24.75" customHeight="1"/>
    <row r="48" spans="1:11" ht="19.899999999999999" customHeight="1"/>
  </sheetData>
  <customSheetViews>
    <customSheetView guid="{141D05B7-EC03-4D54-B355-18B30B95005C}" scale="90" showPageBreaks="1" showGridLines="0" printArea="1" topLeftCell="A16">
      <selection activeCell="A17" sqref="A17"/>
      <rowBreaks count="1" manualBreakCount="1">
        <brk id="21" max="16383" man="1"/>
      </rowBreaks>
      <pageMargins left="0" right="0" top="0" bottom="0" header="0" footer="0"/>
      <pageSetup scale="75" orientation="landscape" r:id="rId1"/>
      <headerFooter alignWithMargins="0">
        <oddFooter>&amp;C&amp;"Times New Roman,Regular"Page &amp;P</oddFooter>
      </headerFooter>
    </customSheetView>
    <customSheetView guid="{9D049D41-B99B-4004-9128-98F3E5E97A8B}" scale="90" showPageBreaks="1" showGridLines="0" printArea="1" topLeftCell="A16">
      <selection activeCell="A17" sqref="A17"/>
      <rowBreaks count="1" manualBreakCount="1">
        <brk id="21" max="16383" man="1"/>
      </rowBreaks>
      <pageMargins left="0" right="0" top="0" bottom="0" header="0" footer="0"/>
      <pageSetup scale="75" orientation="landscape" r:id="rId2"/>
      <headerFooter alignWithMargins="0">
        <oddFooter>&amp;C&amp;"Times New Roman,Regular"Page &amp;P</oddFooter>
      </headerFooter>
    </customSheetView>
  </customSheetViews>
  <mergeCells count="23">
    <mergeCell ref="A34:C34"/>
    <mergeCell ref="G38:J38"/>
    <mergeCell ref="A40:C40"/>
    <mergeCell ref="A39:C39"/>
    <mergeCell ref="A38:C38"/>
    <mergeCell ref="A36:C36"/>
    <mergeCell ref="A35:C35"/>
    <mergeCell ref="A26:L26"/>
    <mergeCell ref="G28:K28"/>
    <mergeCell ref="G39:J39"/>
    <mergeCell ref="G34:J34"/>
    <mergeCell ref="A4:L4"/>
    <mergeCell ref="A31:C31"/>
    <mergeCell ref="A32:C32"/>
    <mergeCell ref="A5:L5"/>
    <mergeCell ref="A8:L8"/>
    <mergeCell ref="A25:L25"/>
    <mergeCell ref="A29:C30"/>
    <mergeCell ref="A28:D28"/>
    <mergeCell ref="A6:L6"/>
    <mergeCell ref="G35:J35"/>
    <mergeCell ref="G29:J30"/>
    <mergeCell ref="A33:C33"/>
  </mergeCells>
  <phoneticPr fontId="0" type="noConversion"/>
  <pageMargins left="0.25" right="0.25" top="0.75" bottom="0.75" header="0.3" footer="0.3"/>
  <pageSetup scale="83" fitToHeight="0" orientation="landscape" r:id="rId3"/>
  <headerFooter alignWithMargins="0">
    <oddFooter>&amp;C&amp;"Times New Roman,Regular"Page &amp;P</oddFooter>
  </headerFooter>
  <rowBreaks count="2" manualBreakCount="2">
    <brk id="6" max="11" man="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8" tint="0.59999389629810485"/>
    <pageSetUpPr fitToPage="1"/>
  </sheetPr>
  <dimension ref="A1:M190"/>
  <sheetViews>
    <sheetView showGridLines="0" topLeftCell="A16" zoomScaleNormal="100" zoomScaleSheetLayoutView="115" workbookViewId="0">
      <selection activeCell="E33" sqref="E33"/>
    </sheetView>
  </sheetViews>
  <sheetFormatPr defaultColWidth="9.140625" defaultRowHeight="15"/>
  <cols>
    <col min="1" max="1" width="19.42578125" style="12" customWidth="1"/>
    <col min="2" max="6" width="15.42578125" style="12" customWidth="1"/>
    <col min="7" max="7" width="12.5703125" style="12" customWidth="1"/>
    <col min="8" max="16384" width="9.140625" style="12"/>
  </cols>
  <sheetData>
    <row r="1" spans="1:13">
      <c r="A1" s="5" t="s">
        <v>22</v>
      </c>
      <c r="B1" s="2"/>
      <c r="C1" s="2"/>
      <c r="D1" s="2"/>
      <c r="E1" s="2"/>
      <c r="F1" s="2"/>
      <c r="G1" s="325" t="s">
        <v>23</v>
      </c>
      <c r="H1" s="2"/>
      <c r="I1" s="2"/>
      <c r="J1" s="2"/>
      <c r="K1" s="2"/>
      <c r="L1" s="2"/>
      <c r="M1" s="2"/>
    </row>
    <row r="2" spans="1:13" ht="6" customHeight="1">
      <c r="A2" s="2"/>
      <c r="B2" s="2"/>
      <c r="C2" s="2"/>
      <c r="D2" s="2"/>
      <c r="E2" s="2"/>
      <c r="F2" s="2"/>
      <c r="G2" s="2"/>
      <c r="H2" s="2"/>
      <c r="I2" s="2"/>
      <c r="J2" s="2"/>
      <c r="K2" s="2"/>
      <c r="L2" s="2"/>
      <c r="M2" s="2"/>
    </row>
    <row r="3" spans="1:13" s="6" customFormat="1" ht="18.75">
      <c r="A3" s="485" t="s">
        <v>84</v>
      </c>
    </row>
    <row r="4" spans="1:13" ht="7.5" customHeight="1">
      <c r="A4" s="44"/>
      <c r="B4" s="2"/>
      <c r="C4" s="2"/>
      <c r="D4" s="2"/>
      <c r="E4" s="2"/>
      <c r="F4" s="2"/>
      <c r="G4" s="2"/>
      <c r="H4" s="2"/>
      <c r="I4" s="2"/>
      <c r="J4" s="2"/>
      <c r="K4" s="2"/>
      <c r="L4" s="2"/>
      <c r="M4" s="2"/>
    </row>
    <row r="5" spans="1:13" s="6" customFormat="1" ht="303" customHeight="1" thickBot="1">
      <c r="A5" s="956" t="s">
        <v>85</v>
      </c>
      <c r="B5" s="957"/>
      <c r="C5" s="957"/>
      <c r="D5" s="957"/>
      <c r="E5" s="957"/>
      <c r="F5" s="957"/>
    </row>
    <row r="6" spans="1:13" ht="63.75" thickTop="1">
      <c r="A6" s="75" t="s">
        <v>86</v>
      </c>
      <c r="B6" s="40" t="s">
        <v>87</v>
      </c>
      <c r="C6" s="40" t="s">
        <v>88</v>
      </c>
      <c r="D6" s="40" t="s">
        <v>89</v>
      </c>
      <c r="E6" s="40" t="s">
        <v>90</v>
      </c>
      <c r="F6" s="41" t="s">
        <v>91</v>
      </c>
      <c r="G6" s="2"/>
      <c r="H6" s="2"/>
      <c r="I6" s="2"/>
      <c r="J6" s="2"/>
      <c r="K6" s="2"/>
      <c r="L6" s="2"/>
      <c r="M6" s="2"/>
    </row>
    <row r="7" spans="1:13" s="2" customFormat="1" ht="15.75">
      <c r="A7" s="307" t="s">
        <v>92</v>
      </c>
      <c r="B7" s="308">
        <f>'C.I.A.'!$C$20</f>
        <v>175623</v>
      </c>
      <c r="C7" s="324">
        <f>SUM(B7/'C.I.A.'!C18)</f>
        <v>5.4607460777793222E-2</v>
      </c>
      <c r="D7" s="309"/>
      <c r="E7" s="310"/>
      <c r="F7" s="311"/>
    </row>
    <row r="8" spans="1:13" s="2" customFormat="1" ht="31.5">
      <c r="A8" s="307" t="s">
        <v>93</v>
      </c>
      <c r="B8" s="308">
        <f>'C.I.A.'!$C$21</f>
        <v>3738</v>
      </c>
      <c r="C8" s="324">
        <f>SUM(B8/'C.I.A.'!C18)</f>
        <v>1.1622776537662553E-3</v>
      </c>
      <c r="D8" s="312"/>
      <c r="E8" s="313"/>
      <c r="F8" s="314"/>
    </row>
    <row r="9" spans="1:13" s="2" customFormat="1" ht="8.25" customHeight="1">
      <c r="A9" s="315"/>
      <c r="B9" s="310"/>
      <c r="C9" s="310"/>
      <c r="D9" s="313"/>
      <c r="E9" s="313"/>
      <c r="F9" s="314"/>
    </row>
    <row r="10" spans="1:13" ht="31.5">
      <c r="A10" s="74" t="s">
        <v>94</v>
      </c>
      <c r="B10" s="316"/>
      <c r="C10" s="317"/>
      <c r="D10" s="317"/>
      <c r="E10" s="317"/>
      <c r="F10" s="318"/>
      <c r="G10" s="2"/>
      <c r="H10" s="2"/>
      <c r="I10" s="2"/>
      <c r="J10" s="2"/>
      <c r="K10" s="2"/>
      <c r="L10" s="2"/>
      <c r="M10" s="2"/>
    </row>
    <row r="11" spans="1:13" s="14" customFormat="1" ht="21.75" customHeight="1">
      <c r="A11" s="953" t="s">
        <v>95</v>
      </c>
      <c r="B11" s="1219"/>
      <c r="C11" s="1219"/>
      <c r="D11" s="1219"/>
      <c r="E11" s="1219"/>
      <c r="F11" s="1220"/>
    </row>
    <row r="12" spans="1:13" ht="15.75">
      <c r="A12" s="19" t="s">
        <v>96</v>
      </c>
      <c r="B12" s="153">
        <f>'C.I.E.'!J147</f>
        <v>347711</v>
      </c>
      <c r="C12" s="127">
        <f>B12/'C.I.A.'!C18</f>
        <v>0.10811576384930936</v>
      </c>
      <c r="D12" s="155">
        <f>B12/'C.I.E.'!$K$147</f>
        <v>12330.17730496454</v>
      </c>
      <c r="E12" s="155">
        <v>12330</v>
      </c>
      <c r="F12" s="128">
        <f>E12/$E$31</f>
        <v>0.56713122671450256</v>
      </c>
      <c r="G12"/>
      <c r="H12" s="2"/>
      <c r="I12" s="2"/>
      <c r="J12" s="2"/>
      <c r="K12" s="2"/>
      <c r="L12" s="2"/>
      <c r="M12" s="2"/>
    </row>
    <row r="13" spans="1:13" ht="15.75">
      <c r="A13" s="20" t="s">
        <v>97</v>
      </c>
      <c r="B13" s="153">
        <f>'C.I.E.'!J153</f>
        <v>174219</v>
      </c>
      <c r="C13" s="127">
        <f>B13/'C.I.A.'!C18</f>
        <v>5.4170907052301563E-2</v>
      </c>
      <c r="D13" s="155">
        <f>B13/'C.I.E.'!$K$147</f>
        <v>6177.9787234042551</v>
      </c>
      <c r="E13" s="155">
        <v>6178</v>
      </c>
      <c r="F13" s="128">
        <f t="shared" ref="F13:F15" si="0">E13/$E$31</f>
        <v>0.2841635619336737</v>
      </c>
      <c r="G13" s="2"/>
      <c r="H13" s="2"/>
      <c r="I13" s="2"/>
      <c r="J13" s="2"/>
      <c r="K13" s="2"/>
      <c r="L13" s="2"/>
      <c r="M13" s="2"/>
    </row>
    <row r="14" spans="1:13" ht="15.75">
      <c r="A14" s="20" t="s">
        <v>98</v>
      </c>
      <c r="B14" s="153">
        <f>'C.I.E.'!J151</f>
        <v>65327</v>
      </c>
      <c r="C14" s="127">
        <f>B14/'C.I.A.'!C18</f>
        <v>2.0312496599140761E-2</v>
      </c>
      <c r="D14" s="156">
        <f>B14/'C.I.E.'!K151</f>
        <v>734.83689538807641</v>
      </c>
      <c r="E14" s="156">
        <v>840</v>
      </c>
      <c r="F14" s="128">
        <f t="shared" si="0"/>
        <v>3.8636677245756867E-2</v>
      </c>
      <c r="G14" s="2"/>
      <c r="H14" s="2"/>
      <c r="I14" s="2"/>
      <c r="J14" s="2"/>
      <c r="K14" s="2"/>
      <c r="L14" s="2"/>
      <c r="M14" s="2"/>
    </row>
    <row r="15" spans="1:13" ht="15.75">
      <c r="A15" s="20" t="s">
        <v>99</v>
      </c>
      <c r="B15" s="154">
        <f>'C.I.E.'!J160</f>
        <v>755869</v>
      </c>
      <c r="C15" s="127">
        <f>B15/'C.I.A.'!C18</f>
        <v>0.23502665807240386</v>
      </c>
      <c r="D15" s="156">
        <f>'C.I.C.'!M1082/'C.I.C.'!N1082+'C.I.C.'!M1108/'C.I.C.'!N1108</f>
        <v>24927.837312005882</v>
      </c>
      <c r="E15" s="156">
        <v>1120</v>
      </c>
      <c r="F15" s="128">
        <f t="shared" si="0"/>
        <v>5.1515569661009154E-2</v>
      </c>
      <c r="G15" s="2"/>
      <c r="H15" s="2"/>
      <c r="I15" s="2"/>
      <c r="J15" s="2"/>
      <c r="K15" s="2"/>
      <c r="L15" s="2"/>
      <c r="M15" s="2"/>
    </row>
    <row r="16" spans="1:13" ht="15.75">
      <c r="A16" s="35" t="s">
        <v>100</v>
      </c>
      <c r="B16" s="129">
        <f>SUM(B12:B15)</f>
        <v>1343126</v>
      </c>
      <c r="C16" s="42"/>
      <c r="D16" s="43"/>
      <c r="E16" s="43"/>
      <c r="F16" s="76"/>
      <c r="G16" s="2"/>
      <c r="H16" s="2"/>
      <c r="I16" s="2"/>
      <c r="J16" s="2"/>
      <c r="K16" s="2"/>
      <c r="L16" s="2"/>
      <c r="M16" s="2"/>
    </row>
    <row r="17" spans="1:11" s="38" customFormat="1" ht="15.75">
      <c r="A17" s="130">
        <f>B16/B31</f>
        <v>0.41762582557315553</v>
      </c>
      <c r="B17" s="47" t="s">
        <v>101</v>
      </c>
      <c r="C17" s="37"/>
      <c r="D17" s="37"/>
      <c r="E17" s="37"/>
      <c r="F17" s="468"/>
      <c r="G17" s="13"/>
      <c r="H17" s="13"/>
      <c r="I17" s="13"/>
      <c r="J17" s="13"/>
      <c r="K17" s="13"/>
    </row>
    <row r="18" spans="1:11" s="14" customFormat="1" ht="21.75" customHeight="1">
      <c r="A18" s="953" t="s">
        <v>102</v>
      </c>
      <c r="B18" s="954"/>
      <c r="C18" s="954"/>
      <c r="D18" s="954"/>
      <c r="E18" s="954"/>
      <c r="F18" s="955"/>
    </row>
    <row r="19" spans="1:11" ht="15.75">
      <c r="A19" s="19" t="s">
        <v>103</v>
      </c>
      <c r="B19" s="153">
        <f>'C.I.E.'!J146</f>
        <v>378220</v>
      </c>
      <c r="C19" s="127">
        <f>B19/'C.I.A.'!C18</f>
        <v>0.11760210117909928</v>
      </c>
      <c r="D19" s="155">
        <f>'C.I.C.'!M1091/'C.I.C.'!N1091+'C.I.C.'!M1113/'C.I.C.'!N1113</f>
        <v>9763.0356220960239</v>
      </c>
      <c r="E19" s="155">
        <v>190</v>
      </c>
      <c r="F19" s="128">
        <f t="shared" ref="F19:F24" si="1">E19/$E$31</f>
        <v>8.7392484246354811E-3</v>
      </c>
      <c r="G19" s="2"/>
      <c r="H19" s="2"/>
      <c r="I19" s="2"/>
      <c r="J19" s="2"/>
      <c r="K19" s="2"/>
    </row>
    <row r="20" spans="1:11" ht="15.75">
      <c r="A20" s="20" t="s">
        <v>104</v>
      </c>
      <c r="B20" s="153">
        <v>0</v>
      </c>
      <c r="C20" s="127">
        <f>B20/'C.I.A.'!C18</f>
        <v>0</v>
      </c>
      <c r="D20" s="156">
        <v>0</v>
      </c>
      <c r="E20" s="156">
        <v>0</v>
      </c>
      <c r="F20" s="128">
        <f t="shared" si="1"/>
        <v>0</v>
      </c>
      <c r="G20" s="2"/>
      <c r="H20" s="2"/>
      <c r="I20" s="2"/>
      <c r="J20" s="2"/>
      <c r="K20" s="2"/>
    </row>
    <row r="21" spans="1:11" ht="15.75">
      <c r="A21" s="20" t="s">
        <v>105</v>
      </c>
      <c r="B21" s="153">
        <v>0</v>
      </c>
      <c r="C21" s="127">
        <f>B21/'C.I.A.'!C18</f>
        <v>0</v>
      </c>
      <c r="D21" s="156">
        <v>0</v>
      </c>
      <c r="E21" s="156">
        <v>0</v>
      </c>
      <c r="F21" s="128">
        <f t="shared" si="1"/>
        <v>0</v>
      </c>
      <c r="G21" s="2"/>
      <c r="H21" s="2"/>
      <c r="I21" s="2"/>
      <c r="J21" s="2"/>
      <c r="K21" s="2"/>
    </row>
    <row r="22" spans="1:11" ht="15.75">
      <c r="A22" s="20" t="s">
        <v>106</v>
      </c>
      <c r="B22" s="153">
        <f>'C.I.E.'!J142</f>
        <v>315406</v>
      </c>
      <c r="C22" s="127">
        <f>B22/'C.I.A.'!C18</f>
        <v>9.8070985998876273E-2</v>
      </c>
      <c r="D22" s="156">
        <f>B22/'C.I.E.'!K142</f>
        <v>4613.2221734678951</v>
      </c>
      <c r="E22" s="156">
        <v>288</v>
      </c>
      <c r="F22" s="128">
        <f t="shared" si="1"/>
        <v>1.3246860769973782E-2</v>
      </c>
      <c r="G22" s="2"/>
      <c r="H22" s="2"/>
      <c r="I22" s="2"/>
      <c r="J22" s="2"/>
      <c r="K22" s="2"/>
    </row>
    <row r="23" spans="1:11" ht="15.75">
      <c r="A23" s="20" t="s">
        <v>107</v>
      </c>
      <c r="B23" s="153">
        <v>0</v>
      </c>
      <c r="C23" s="127">
        <f>B23/'C.I.A.'!C18</f>
        <v>0</v>
      </c>
      <c r="D23" s="156">
        <v>0</v>
      </c>
      <c r="E23" s="156">
        <v>0</v>
      </c>
      <c r="F23" s="128">
        <f t="shared" si="1"/>
        <v>0</v>
      </c>
      <c r="G23" s="2"/>
      <c r="H23" s="2"/>
      <c r="I23" s="2"/>
      <c r="J23" s="2"/>
      <c r="K23" s="2"/>
    </row>
    <row r="24" spans="1:11" ht="15.75">
      <c r="A24" s="20" t="s">
        <v>108</v>
      </c>
      <c r="B24" s="154">
        <f>'C.I.E.'!J159</f>
        <v>8485</v>
      </c>
      <c r="C24" s="127">
        <f>B24/'C.I.A.'!C18</f>
        <v>2.6382894307669011E-3</v>
      </c>
      <c r="D24" s="156">
        <f>B24/'C.I.E.'!K159</f>
        <v>317.196261682243</v>
      </c>
      <c r="E24" s="156">
        <v>120</v>
      </c>
      <c r="F24" s="128">
        <f t="shared" si="1"/>
        <v>5.5195253208224094E-3</v>
      </c>
      <c r="G24" s="2"/>
      <c r="H24" s="2"/>
      <c r="I24" s="2"/>
      <c r="J24" s="2"/>
      <c r="K24" s="2"/>
    </row>
    <row r="25" spans="1:11" ht="15.75">
      <c r="A25" s="35" t="s">
        <v>100</v>
      </c>
      <c r="B25" s="129">
        <f>SUM(B19:B24)</f>
        <v>702111</v>
      </c>
      <c r="C25" s="42"/>
      <c r="D25" s="43"/>
      <c r="E25" s="43"/>
      <c r="F25" s="76"/>
      <c r="G25" s="2"/>
      <c r="H25" s="2"/>
      <c r="I25" s="2"/>
      <c r="J25" s="2"/>
      <c r="K25" s="2"/>
    </row>
    <row r="26" spans="1:11" ht="15" customHeight="1">
      <c r="A26" s="130">
        <f>B25/B31</f>
        <v>0.21831137660874245</v>
      </c>
      <c r="B26" s="48" t="s">
        <v>109</v>
      </c>
      <c r="C26" s="39"/>
      <c r="D26" s="39"/>
      <c r="E26" s="39"/>
      <c r="F26" s="468"/>
      <c r="G26" s="2"/>
      <c r="H26" s="2"/>
      <c r="I26" s="2"/>
      <c r="J26" s="2"/>
      <c r="K26" s="2"/>
    </row>
    <row r="27" spans="1:11" s="14" customFormat="1" ht="21.75" customHeight="1">
      <c r="A27" s="953" t="s">
        <v>110</v>
      </c>
      <c r="B27" s="954"/>
      <c r="C27" s="954"/>
      <c r="D27" s="954"/>
      <c r="E27" s="954"/>
      <c r="F27" s="955"/>
    </row>
    <row r="28" spans="1:11" ht="15.75">
      <c r="A28" s="20" t="s">
        <v>110</v>
      </c>
      <c r="B28" s="154">
        <f>'C.I.E.'!J149</f>
        <v>138138</v>
      </c>
      <c r="C28" s="131">
        <f>B28/'C.I.A.'!C18</f>
        <v>4.2952035991429369E-2</v>
      </c>
      <c r="D28" s="156">
        <f>'C.I.C.'!M1084/'C.I.C.'!N1084+'C.I.C.'!M1111/'C.I.C.'!N1111</f>
        <v>1317.5507363651077</v>
      </c>
      <c r="E28" s="156">
        <v>270</v>
      </c>
      <c r="F28" s="128">
        <f t="shared" ref="F28" si="2">E28/$E$31</f>
        <v>1.2418931971850421E-2</v>
      </c>
      <c r="G28" s="2"/>
      <c r="H28" s="2"/>
      <c r="I28" s="2"/>
      <c r="J28" s="2"/>
      <c r="K28" s="2"/>
    </row>
    <row r="29" spans="1:11" ht="15" customHeight="1">
      <c r="A29" s="130">
        <f>B28/B31</f>
        <v>4.2952035991429369E-2</v>
      </c>
      <c r="B29" s="123" t="s">
        <v>111</v>
      </c>
      <c r="C29" s="39"/>
      <c r="D29" s="39"/>
      <c r="E29" s="39"/>
      <c r="F29" s="468"/>
      <c r="G29" s="2"/>
      <c r="H29" s="2"/>
      <c r="I29" s="2"/>
      <c r="J29" s="2"/>
      <c r="K29" s="2"/>
    </row>
    <row r="30" spans="1:11" ht="34.5" customHeight="1">
      <c r="A30" s="21" t="s">
        <v>112</v>
      </c>
      <c r="B30" s="157">
        <f>'C.I.A.'!C18-'C.I.B.'!B25-'C.I.B.'!B16-'C.I.B.'!B28-B8-B7</f>
        <v>853363</v>
      </c>
      <c r="C30" s="132">
        <f>B30/'C.I.A.'!C18</f>
        <v>0.26534102339511317</v>
      </c>
      <c r="D30" s="762">
        <f>44969</f>
        <v>44969</v>
      </c>
      <c r="E30" s="158">
        <v>405</v>
      </c>
      <c r="F30" s="77"/>
      <c r="G30" s="2"/>
      <c r="H30" s="2"/>
      <c r="I30" s="2"/>
      <c r="J30" s="2"/>
      <c r="K30" s="2"/>
    </row>
    <row r="31" spans="1:11" ht="16.5" thickBot="1">
      <c r="A31" s="78" t="s">
        <v>113</v>
      </c>
      <c r="B31" s="133">
        <f>B7+B8+B16+B25+B28+B30</f>
        <v>3216099</v>
      </c>
      <c r="C31" s="134">
        <f>B31/'C.I.A.'!C18</f>
        <v>1</v>
      </c>
      <c r="D31" s="135">
        <f>SUM(D12:D15)+SUM(D19:D24)+D28+D30</f>
        <v>105150.83502937402</v>
      </c>
      <c r="E31" s="135">
        <f>SUM(E12:E15)+SUM(E19:E24)+E28+E30</f>
        <v>21741</v>
      </c>
      <c r="F31" s="79"/>
      <c r="G31" s="2"/>
      <c r="H31" s="2"/>
      <c r="I31" s="2"/>
      <c r="J31" s="2"/>
      <c r="K31" s="2"/>
    </row>
    <row r="32" spans="1:11" ht="16.5" thickTop="1">
      <c r="A32" s="10"/>
      <c r="B32" s="2"/>
      <c r="C32" s="2"/>
      <c r="D32" s="2"/>
      <c r="E32" s="2"/>
      <c r="F32" s="2"/>
      <c r="G32" s="2"/>
      <c r="H32" s="2"/>
      <c r="I32" s="2"/>
      <c r="J32" s="2"/>
      <c r="K32" s="2"/>
    </row>
    <row r="33" spans="1:7" ht="15.75">
      <c r="A33" s="6" t="s">
        <v>114</v>
      </c>
      <c r="B33" s="2"/>
      <c r="C33" s="2"/>
      <c r="D33" s="2"/>
      <c r="E33" s="843">
        <v>538177</v>
      </c>
      <c r="F33" s="2"/>
      <c r="G33" s="2"/>
    </row>
    <row r="34" spans="1:7">
      <c r="A34" s="2"/>
      <c r="B34" s="2"/>
      <c r="C34" s="2"/>
      <c r="D34" s="2"/>
      <c r="E34" s="122"/>
      <c r="F34" s="2"/>
      <c r="G34" s="2"/>
    </row>
    <row r="35" spans="1:7">
      <c r="A35" s="2"/>
      <c r="B35" s="2"/>
      <c r="C35" s="2"/>
      <c r="D35" s="2"/>
      <c r="E35" s="2"/>
      <c r="F35" s="2"/>
      <c r="G35" s="2"/>
    </row>
    <row r="36" spans="1:7">
      <c r="A36" s="2"/>
      <c r="B36" s="2"/>
      <c r="C36" s="2"/>
      <c r="D36" s="2"/>
      <c r="E36" s="2"/>
      <c r="F36" s="2"/>
      <c r="G36" s="2"/>
    </row>
    <row r="37" spans="1:7">
      <c r="A37" s="2"/>
      <c r="B37" s="2"/>
      <c r="C37" s="2"/>
      <c r="D37" s="2"/>
      <c r="E37" s="2"/>
      <c r="F37" s="2"/>
      <c r="G37" s="2"/>
    </row>
    <row r="38" spans="1:7">
      <c r="A38" s="2"/>
      <c r="B38" s="2"/>
      <c r="C38" s="2"/>
      <c r="D38" s="2"/>
      <c r="E38" s="2"/>
      <c r="F38" s="2"/>
      <c r="G38" s="2"/>
    </row>
    <row r="39" spans="1:7">
      <c r="A39" s="2"/>
      <c r="B39" s="2"/>
      <c r="C39" s="2"/>
      <c r="D39" s="2"/>
      <c r="E39" s="2"/>
      <c r="F39" s="2"/>
      <c r="G39" s="2"/>
    </row>
    <row r="40" spans="1:7">
      <c r="A40" s="2"/>
      <c r="B40" s="2"/>
      <c r="C40" s="2"/>
      <c r="D40" s="2"/>
      <c r="E40" s="2"/>
      <c r="F40" s="2"/>
      <c r="G40" s="2"/>
    </row>
    <row r="41" spans="1:7">
      <c r="A41" s="2"/>
      <c r="B41" s="2"/>
      <c r="C41" s="2"/>
      <c r="D41" s="2"/>
      <c r="E41" s="2"/>
      <c r="F41" s="2"/>
      <c r="G41" s="2"/>
    </row>
    <row r="42" spans="1:7">
      <c r="A42" s="2"/>
      <c r="B42" s="2"/>
      <c r="C42" s="2"/>
      <c r="D42" s="2"/>
      <c r="E42" s="2"/>
      <c r="F42" s="2"/>
      <c r="G42" s="2"/>
    </row>
    <row r="43" spans="1:7">
      <c r="A43" s="2"/>
      <c r="B43" s="2"/>
      <c r="C43" s="2"/>
      <c r="D43" s="2"/>
      <c r="E43" s="2"/>
      <c r="F43" s="2"/>
      <c r="G43" s="2"/>
    </row>
    <row r="44" spans="1:7">
      <c r="A44" s="2"/>
      <c r="B44" s="2"/>
      <c r="C44" s="2"/>
      <c r="D44" s="2"/>
      <c r="E44" s="2"/>
      <c r="F44" s="2"/>
      <c r="G44" s="2"/>
    </row>
    <row r="45" spans="1:7">
      <c r="A45" s="2"/>
      <c r="B45" s="2"/>
      <c r="C45" s="2"/>
      <c r="D45" s="2"/>
      <c r="E45" s="2"/>
      <c r="F45" s="2"/>
      <c r="G45" s="2"/>
    </row>
    <row r="46" spans="1:7">
      <c r="A46" s="2"/>
      <c r="B46" s="2"/>
      <c r="C46" s="2"/>
      <c r="D46" s="2"/>
      <c r="E46" s="2"/>
      <c r="F46" s="2"/>
      <c r="G46" s="2"/>
    </row>
    <row r="47" spans="1:7">
      <c r="A47" s="2"/>
      <c r="B47" s="2"/>
      <c r="C47" s="2"/>
      <c r="D47" s="2"/>
      <c r="E47" s="2"/>
      <c r="F47" s="2"/>
      <c r="G47" s="2"/>
    </row>
    <row r="48" spans="1:7">
      <c r="A48" s="2"/>
      <c r="B48" s="2"/>
      <c r="C48" s="2"/>
      <c r="D48" s="2"/>
      <c r="E48" s="2"/>
      <c r="F48" s="2"/>
      <c r="G48" s="2"/>
    </row>
    <row r="49" spans="1:7">
      <c r="A49" s="2"/>
      <c r="B49" s="2"/>
      <c r="C49" s="2"/>
      <c r="D49" s="2"/>
      <c r="E49" s="2"/>
      <c r="F49" s="2"/>
      <c r="G49" s="2"/>
    </row>
    <row r="50" spans="1:7">
      <c r="A50" s="2"/>
      <c r="B50" s="2"/>
      <c r="C50" s="2"/>
      <c r="D50" s="2"/>
      <c r="E50" s="2"/>
      <c r="F50" s="2"/>
      <c r="G50" s="2"/>
    </row>
    <row r="51" spans="1:7">
      <c r="A51" s="2"/>
      <c r="B51" s="2"/>
      <c r="C51" s="2"/>
      <c r="D51" s="2"/>
      <c r="E51" s="2"/>
      <c r="F51"/>
      <c r="G51"/>
    </row>
    <row r="52" spans="1:7">
      <c r="A52" s="2"/>
      <c r="B52" s="2"/>
      <c r="C52" s="2"/>
      <c r="D52" s="2"/>
      <c r="E52" s="2"/>
      <c r="F52"/>
      <c r="G52"/>
    </row>
    <row r="53" spans="1:7">
      <c r="A53" s="2"/>
      <c r="B53" s="2"/>
      <c r="C53" s="2"/>
      <c r="D53" s="2"/>
      <c r="E53" s="2"/>
      <c r="F53"/>
      <c r="G53"/>
    </row>
    <row r="54" spans="1:7">
      <c r="A54" s="2"/>
      <c r="B54" s="2"/>
      <c r="C54" s="2"/>
      <c r="D54" s="2"/>
      <c r="E54" s="2"/>
      <c r="F54"/>
      <c r="G54"/>
    </row>
    <row r="55" spans="1:7">
      <c r="A55" s="2"/>
      <c r="B55" s="2"/>
      <c r="C55" s="2"/>
      <c r="D55" s="2"/>
      <c r="E55" s="2"/>
      <c r="F55" s="2"/>
      <c r="G55" s="2"/>
    </row>
    <row r="56" spans="1:7">
      <c r="A56" s="2"/>
      <c r="B56" s="2"/>
      <c r="C56" s="2"/>
      <c r="D56" s="2"/>
      <c r="E56" s="2"/>
      <c r="F56" s="2"/>
      <c r="G56" s="2"/>
    </row>
    <row r="57" spans="1:7">
      <c r="A57" s="2"/>
      <c r="B57" s="2"/>
      <c r="C57" s="2"/>
      <c r="D57" s="2"/>
      <c r="E57" s="2"/>
      <c r="F57" s="2"/>
      <c r="G57" s="2"/>
    </row>
    <row r="58" spans="1:7">
      <c r="A58" s="2"/>
      <c r="B58" s="2"/>
      <c r="C58" s="2"/>
      <c r="D58" s="2"/>
      <c r="E58" s="2"/>
      <c r="F58" s="2"/>
      <c r="G58" s="2"/>
    </row>
    <row r="59" spans="1:7">
      <c r="A59" s="2"/>
      <c r="B59" s="2"/>
      <c r="C59" s="2"/>
      <c r="D59" s="2"/>
      <c r="E59" s="2"/>
      <c r="F59" s="2"/>
      <c r="G59" s="2"/>
    </row>
    <row r="60" spans="1:7">
      <c r="A60" s="2"/>
      <c r="B60" s="2"/>
      <c r="C60" s="2"/>
      <c r="D60" s="2"/>
      <c r="E60" s="2"/>
      <c r="F60" s="2"/>
      <c r="G60" s="2"/>
    </row>
    <row r="61" spans="1:7">
      <c r="A61" s="2"/>
      <c r="B61" s="2"/>
      <c r="C61" s="2"/>
      <c r="D61" s="2"/>
      <c r="E61" s="2"/>
      <c r="F61" s="2"/>
      <c r="G61" s="2"/>
    </row>
    <row r="62" spans="1:7">
      <c r="A62" s="2"/>
      <c r="B62" s="2"/>
      <c r="C62" s="2"/>
      <c r="D62" s="2"/>
      <c r="E62" s="2"/>
      <c r="F62" s="2"/>
      <c r="G62" s="2"/>
    </row>
    <row r="63" spans="1:7">
      <c r="A63" s="2"/>
      <c r="B63" s="2"/>
      <c r="C63" s="2"/>
      <c r="D63" s="2"/>
      <c r="E63" s="2"/>
      <c r="F63" s="2"/>
      <c r="G63" s="2"/>
    </row>
    <row r="64" spans="1:7">
      <c r="A64" s="2"/>
      <c r="B64" s="2"/>
      <c r="C64" s="2"/>
      <c r="D64" s="2"/>
      <c r="E64" s="2"/>
      <c r="F64" s="2"/>
      <c r="G64" s="2"/>
    </row>
    <row r="65" spans="1:6">
      <c r="A65" s="2"/>
      <c r="B65" s="2"/>
      <c r="C65" s="2"/>
      <c r="D65" s="2"/>
      <c r="E65" s="2"/>
      <c r="F65" s="2"/>
    </row>
    <row r="66" spans="1:6">
      <c r="A66" s="2"/>
      <c r="B66" s="2"/>
      <c r="C66" s="2"/>
      <c r="D66" s="2"/>
      <c r="E66" s="2"/>
      <c r="F66" s="2"/>
    </row>
    <row r="67" spans="1:6">
      <c r="A67" s="2"/>
      <c r="B67" s="2"/>
      <c r="C67" s="2"/>
      <c r="D67" s="2"/>
      <c r="E67" s="2"/>
      <c r="F67" s="2"/>
    </row>
    <row r="68" spans="1:6">
      <c r="A68" s="2"/>
      <c r="B68" s="2"/>
      <c r="C68" s="2"/>
      <c r="D68" s="2"/>
      <c r="E68" s="2"/>
      <c r="F68" s="2"/>
    </row>
    <row r="69" spans="1:6">
      <c r="A69" s="2"/>
      <c r="B69" s="2"/>
      <c r="C69" s="2"/>
      <c r="D69" s="2"/>
      <c r="E69" s="2"/>
      <c r="F69" s="2"/>
    </row>
    <row r="70" spans="1:6">
      <c r="A70" s="2"/>
      <c r="B70" s="2"/>
      <c r="C70" s="2"/>
      <c r="D70" s="2"/>
      <c r="E70" s="2"/>
      <c r="F70" s="2"/>
    </row>
    <row r="71" spans="1:6">
      <c r="A71" s="2"/>
      <c r="B71" s="2"/>
      <c r="C71" s="2"/>
      <c r="D71" s="2"/>
      <c r="E71" s="2"/>
      <c r="F71" s="2"/>
    </row>
    <row r="72" spans="1:6">
      <c r="A72" s="2"/>
      <c r="B72" s="2"/>
      <c r="C72" s="2"/>
      <c r="D72" s="2"/>
      <c r="E72" s="2"/>
      <c r="F72" s="2"/>
    </row>
    <row r="73" spans="1:6">
      <c r="A73" s="2"/>
      <c r="B73" s="2"/>
      <c r="C73" s="2"/>
      <c r="D73" s="2"/>
      <c r="E73" s="2"/>
      <c r="F73" s="2"/>
    </row>
    <row r="74" spans="1:6">
      <c r="A74" s="2"/>
      <c r="B74" s="2"/>
      <c r="C74" s="2"/>
      <c r="D74" s="2"/>
      <c r="E74" s="2"/>
      <c r="F74" s="2"/>
    </row>
    <row r="75" spans="1:6">
      <c r="A75" s="2"/>
      <c r="B75" s="2"/>
      <c r="C75" s="2"/>
      <c r="D75" s="2"/>
      <c r="E75" s="2"/>
      <c r="F75" s="2"/>
    </row>
    <row r="76" spans="1:6">
      <c r="A76" s="2"/>
      <c r="B76" s="2"/>
      <c r="C76" s="2"/>
      <c r="D76" s="2"/>
      <c r="E76" s="2"/>
      <c r="F76" s="2"/>
    </row>
    <row r="77" spans="1:6">
      <c r="A77" s="2"/>
      <c r="B77" s="2"/>
      <c r="C77" s="2"/>
      <c r="D77" s="2"/>
      <c r="E77" s="2"/>
      <c r="F77" s="2"/>
    </row>
    <row r="78" spans="1:6">
      <c r="A78" s="2"/>
      <c r="B78" s="2"/>
      <c r="C78" s="2"/>
      <c r="D78" s="2"/>
      <c r="E78" s="2"/>
      <c r="F78" s="2"/>
    </row>
    <row r="79" spans="1:6">
      <c r="A79" s="2"/>
      <c r="B79" s="2"/>
      <c r="C79" s="2"/>
      <c r="D79" s="2"/>
      <c r="E79" s="2"/>
      <c r="F79" s="2"/>
    </row>
    <row r="80" spans="1:6">
      <c r="A80" s="2"/>
      <c r="B80" s="2"/>
      <c r="C80" s="2"/>
      <c r="D80" s="2"/>
      <c r="E80" s="2"/>
      <c r="F80" s="2"/>
    </row>
    <row r="81" spans="1:6">
      <c r="A81" s="2"/>
      <c r="B81" s="2"/>
      <c r="C81" s="2"/>
      <c r="D81" s="2"/>
      <c r="E81" s="2"/>
      <c r="F81" s="2"/>
    </row>
    <row r="82" spans="1:6">
      <c r="A82" s="2"/>
      <c r="B82" s="2"/>
      <c r="C82" s="2"/>
      <c r="D82" s="2"/>
      <c r="E82" s="2"/>
      <c r="F82" s="2"/>
    </row>
    <row r="83" spans="1:6">
      <c r="A83" s="2"/>
      <c r="B83" s="2"/>
      <c r="C83" s="2"/>
      <c r="D83" s="2"/>
      <c r="E83" s="2"/>
      <c r="F83" s="2"/>
    </row>
    <row r="84" spans="1:6">
      <c r="A84" s="2"/>
      <c r="B84" s="2"/>
      <c r="C84" s="2"/>
      <c r="D84" s="2"/>
      <c r="E84" s="2"/>
      <c r="F84" s="2"/>
    </row>
    <row r="85" spans="1:6">
      <c r="A85" s="2"/>
      <c r="B85" s="2"/>
      <c r="C85" s="2"/>
      <c r="D85" s="2"/>
      <c r="E85" s="2"/>
      <c r="F85" s="2"/>
    </row>
    <row r="86" spans="1:6">
      <c r="A86" s="2"/>
      <c r="B86" s="2"/>
      <c r="C86" s="2"/>
      <c r="D86" s="2"/>
      <c r="E86" s="2"/>
      <c r="F86" s="2"/>
    </row>
    <row r="87" spans="1:6">
      <c r="A87" s="2"/>
      <c r="B87" s="2"/>
      <c r="C87" s="2"/>
      <c r="D87" s="2"/>
      <c r="E87" s="2"/>
      <c r="F87" s="2"/>
    </row>
    <row r="88" spans="1:6">
      <c r="A88" s="2"/>
      <c r="B88" s="2"/>
      <c r="C88" s="2"/>
      <c r="D88" s="2"/>
      <c r="E88" s="2"/>
      <c r="F88" s="2"/>
    </row>
    <row r="89" spans="1:6">
      <c r="A89" s="2"/>
      <c r="B89" s="2"/>
      <c r="C89" s="2"/>
      <c r="D89" s="2"/>
      <c r="E89" s="2"/>
      <c r="F89" s="2"/>
    </row>
    <row r="90" spans="1:6">
      <c r="A90" s="2"/>
      <c r="B90" s="2"/>
      <c r="C90" s="2"/>
      <c r="D90" s="2"/>
      <c r="E90" s="2"/>
      <c r="F90" s="2"/>
    </row>
    <row r="91" spans="1:6">
      <c r="A91" s="2"/>
      <c r="B91" s="2"/>
      <c r="C91" s="2"/>
      <c r="D91" s="2"/>
      <c r="E91" s="2"/>
      <c r="F91" s="2"/>
    </row>
    <row r="92" spans="1:6">
      <c r="A92" s="2"/>
      <c r="B92" s="2"/>
      <c r="C92" s="2"/>
      <c r="D92" s="2"/>
      <c r="E92" s="2"/>
      <c r="F92" s="2"/>
    </row>
    <row r="93" spans="1:6">
      <c r="A93" s="2"/>
      <c r="B93" s="2"/>
      <c r="C93" s="2"/>
      <c r="D93" s="2"/>
      <c r="E93" s="2"/>
      <c r="F93" s="2"/>
    </row>
    <row r="94" spans="1:6">
      <c r="A94" s="2"/>
      <c r="B94" s="2"/>
      <c r="C94" s="2"/>
      <c r="D94" s="2"/>
      <c r="E94" s="2"/>
      <c r="F94" s="2"/>
    </row>
    <row r="95" spans="1:6">
      <c r="A95" s="2"/>
      <c r="B95" s="2"/>
      <c r="C95" s="2"/>
      <c r="D95" s="2"/>
      <c r="E95" s="2"/>
      <c r="F95" s="2"/>
    </row>
    <row r="96" spans="1:6">
      <c r="A96" s="2"/>
      <c r="B96" s="2"/>
      <c r="C96" s="2"/>
      <c r="D96" s="2"/>
      <c r="E96" s="2"/>
      <c r="F96" s="2"/>
    </row>
    <row r="97" spans="1:6">
      <c r="A97" s="2"/>
      <c r="B97" s="2"/>
      <c r="C97" s="2"/>
      <c r="D97" s="2"/>
      <c r="E97" s="2"/>
      <c r="F97" s="2"/>
    </row>
    <row r="98" spans="1:6">
      <c r="A98" s="2"/>
      <c r="B98" s="2"/>
      <c r="C98" s="2"/>
      <c r="D98" s="2"/>
      <c r="E98" s="2"/>
      <c r="F98" s="2"/>
    </row>
    <row r="99" spans="1:6">
      <c r="A99" s="2"/>
      <c r="B99" s="2"/>
      <c r="C99" s="2"/>
      <c r="D99" s="2"/>
      <c r="E99" s="2"/>
      <c r="F99" s="2"/>
    </row>
    <row r="100" spans="1:6">
      <c r="A100" s="2"/>
      <c r="B100" s="2"/>
      <c r="C100" s="2"/>
      <c r="D100" s="2"/>
      <c r="E100" s="2"/>
      <c r="F100" s="2"/>
    </row>
    <row r="101" spans="1:6">
      <c r="A101" s="2"/>
      <c r="B101" s="2"/>
      <c r="C101" s="2"/>
      <c r="D101" s="2"/>
      <c r="E101" s="2"/>
      <c r="F101" s="2"/>
    </row>
    <row r="102" spans="1:6">
      <c r="A102" s="2"/>
      <c r="B102" s="2"/>
      <c r="C102" s="2"/>
      <c r="D102" s="2"/>
      <c r="E102" s="2"/>
      <c r="F102" s="2"/>
    </row>
    <row r="103" spans="1:6">
      <c r="A103" s="2"/>
      <c r="B103" s="2"/>
      <c r="C103" s="2"/>
      <c r="D103" s="2"/>
      <c r="E103" s="2"/>
      <c r="F103" s="2"/>
    </row>
    <row r="104" spans="1:6">
      <c r="A104" s="2"/>
      <c r="B104" s="2"/>
      <c r="C104" s="2"/>
      <c r="D104" s="2"/>
      <c r="E104" s="2"/>
      <c r="F104" s="2"/>
    </row>
    <row r="105" spans="1:6">
      <c r="A105" s="2"/>
      <c r="B105" s="2"/>
      <c r="C105" s="2"/>
      <c r="D105" s="2"/>
      <c r="E105" s="2"/>
      <c r="F105" s="2"/>
    </row>
    <row r="106" spans="1:6">
      <c r="A106" s="2"/>
      <c r="B106" s="2"/>
      <c r="C106" s="2"/>
      <c r="D106" s="2"/>
      <c r="E106" s="2"/>
      <c r="F106" s="2"/>
    </row>
    <row r="107" spans="1:6">
      <c r="A107" s="2"/>
      <c r="B107" s="2"/>
      <c r="C107" s="2"/>
      <c r="D107" s="2"/>
      <c r="E107" s="2"/>
      <c r="F107" s="2"/>
    </row>
    <row r="108" spans="1:6">
      <c r="A108" s="2"/>
      <c r="B108" s="2"/>
      <c r="C108" s="2"/>
      <c r="D108" s="2"/>
      <c r="E108" s="2"/>
      <c r="F108" s="2"/>
    </row>
    <row r="109" spans="1:6">
      <c r="A109" s="2"/>
      <c r="B109" s="2"/>
      <c r="C109" s="2"/>
      <c r="D109" s="2"/>
      <c r="E109" s="2"/>
      <c r="F109" s="2"/>
    </row>
    <row r="110" spans="1:6">
      <c r="A110" s="2"/>
      <c r="B110" s="2"/>
      <c r="C110" s="2"/>
      <c r="D110" s="2"/>
      <c r="E110" s="2"/>
      <c r="F110" s="2"/>
    </row>
    <row r="111" spans="1:6">
      <c r="A111" s="2"/>
      <c r="B111" s="2"/>
      <c r="C111" s="2"/>
      <c r="D111" s="2"/>
      <c r="E111" s="2"/>
      <c r="F111" s="2"/>
    </row>
    <row r="112" spans="1:6">
      <c r="A112" s="2"/>
      <c r="B112" s="2"/>
      <c r="C112" s="2"/>
      <c r="D112" s="2"/>
      <c r="E112" s="2"/>
      <c r="F112" s="2"/>
    </row>
    <row r="113" spans="1:6">
      <c r="A113" s="2"/>
      <c r="B113" s="2"/>
      <c r="C113" s="2"/>
      <c r="D113" s="2"/>
      <c r="E113" s="2"/>
      <c r="F113" s="2"/>
    </row>
    <row r="114" spans="1:6">
      <c r="A114" s="2"/>
      <c r="B114" s="2"/>
      <c r="C114" s="2"/>
      <c r="D114" s="2"/>
      <c r="E114" s="2"/>
      <c r="F114" s="2"/>
    </row>
    <row r="115" spans="1:6">
      <c r="A115" s="2"/>
      <c r="B115" s="2"/>
      <c r="C115" s="2"/>
      <c r="D115" s="2"/>
      <c r="E115" s="2"/>
      <c r="F115" s="2"/>
    </row>
    <row r="116" spans="1:6">
      <c r="A116" s="2"/>
      <c r="B116" s="2"/>
      <c r="C116" s="2"/>
      <c r="D116" s="2"/>
      <c r="E116" s="2"/>
      <c r="F116" s="2"/>
    </row>
    <row r="117" spans="1:6">
      <c r="A117" s="2"/>
      <c r="B117" s="2"/>
      <c r="C117" s="2"/>
      <c r="D117" s="2"/>
      <c r="E117" s="2"/>
      <c r="F117" s="2"/>
    </row>
    <row r="118" spans="1:6">
      <c r="A118" s="2"/>
      <c r="B118" s="2"/>
      <c r="C118" s="2"/>
      <c r="D118" s="2"/>
      <c r="E118" s="2"/>
      <c r="F118" s="2"/>
    </row>
    <row r="119" spans="1:6">
      <c r="A119" s="2"/>
      <c r="B119" s="2"/>
      <c r="C119" s="2"/>
      <c r="D119" s="2"/>
      <c r="E119" s="2"/>
      <c r="F119" s="2"/>
    </row>
    <row r="120" spans="1:6">
      <c r="A120" s="2"/>
      <c r="B120" s="2"/>
      <c r="C120" s="2"/>
      <c r="D120" s="2"/>
      <c r="E120" s="2"/>
      <c r="F120" s="2"/>
    </row>
    <row r="121" spans="1:6">
      <c r="A121" s="2"/>
      <c r="B121" s="2"/>
      <c r="C121" s="2"/>
      <c r="D121" s="2"/>
      <c r="E121" s="2"/>
      <c r="F121" s="2"/>
    </row>
    <row r="122" spans="1:6">
      <c r="A122" s="2"/>
      <c r="B122" s="2"/>
      <c r="C122" s="2"/>
      <c r="D122" s="2"/>
      <c r="E122" s="2"/>
      <c r="F122" s="2"/>
    </row>
    <row r="123" spans="1:6">
      <c r="A123" s="2"/>
      <c r="B123" s="2"/>
      <c r="C123" s="2"/>
      <c r="D123" s="2"/>
      <c r="E123" s="2"/>
      <c r="F123" s="2"/>
    </row>
    <row r="124" spans="1:6">
      <c r="A124" s="2"/>
      <c r="B124" s="2"/>
      <c r="C124" s="2"/>
      <c r="D124" s="2"/>
      <c r="E124" s="2"/>
      <c r="F124" s="2"/>
    </row>
    <row r="125" spans="1:6">
      <c r="A125" s="2"/>
      <c r="B125" s="2"/>
      <c r="C125" s="2"/>
      <c r="D125" s="2"/>
      <c r="E125" s="2"/>
      <c r="F125" s="2"/>
    </row>
    <row r="126" spans="1:6">
      <c r="A126" s="2"/>
      <c r="B126" s="2"/>
      <c r="C126" s="2"/>
      <c r="D126" s="2"/>
      <c r="E126" s="2"/>
      <c r="F126" s="2"/>
    </row>
    <row r="127" spans="1:6">
      <c r="A127" s="2"/>
      <c r="B127" s="2"/>
      <c r="C127" s="2"/>
      <c r="D127" s="2"/>
      <c r="E127" s="2"/>
      <c r="F127" s="2"/>
    </row>
    <row r="128" spans="1:6">
      <c r="A128" s="2"/>
      <c r="B128" s="2"/>
      <c r="C128" s="2"/>
      <c r="D128" s="2"/>
      <c r="E128" s="2"/>
      <c r="F128" s="2"/>
    </row>
    <row r="129" spans="1:6">
      <c r="A129" s="2"/>
      <c r="B129" s="2"/>
      <c r="C129" s="2"/>
      <c r="D129" s="2"/>
      <c r="E129" s="2"/>
      <c r="F129" s="2"/>
    </row>
    <row r="130" spans="1:6">
      <c r="A130" s="2"/>
      <c r="B130" s="2"/>
      <c r="C130" s="2"/>
      <c r="D130" s="2"/>
      <c r="E130" s="2"/>
      <c r="F130" s="2"/>
    </row>
    <row r="131" spans="1:6">
      <c r="A131" s="2"/>
      <c r="B131" s="2"/>
      <c r="C131" s="2"/>
      <c r="D131" s="2"/>
      <c r="E131" s="2"/>
      <c r="F131" s="2"/>
    </row>
    <row r="132" spans="1:6">
      <c r="A132" s="2"/>
      <c r="B132" s="2"/>
      <c r="C132" s="2"/>
      <c r="D132" s="2"/>
      <c r="E132" s="2"/>
      <c r="F132" s="2"/>
    </row>
    <row r="133" spans="1:6">
      <c r="A133" s="2"/>
      <c r="B133" s="2"/>
      <c r="C133" s="2"/>
      <c r="D133" s="2"/>
      <c r="E133" s="2"/>
      <c r="F133" s="2"/>
    </row>
    <row r="134" spans="1:6">
      <c r="A134" s="2"/>
      <c r="B134" s="2"/>
      <c r="C134" s="2"/>
      <c r="D134" s="2"/>
      <c r="E134" s="2"/>
      <c r="F134" s="2"/>
    </row>
    <row r="135" spans="1:6">
      <c r="A135" s="2"/>
      <c r="B135" s="2"/>
      <c r="C135" s="2"/>
      <c r="D135" s="2"/>
      <c r="E135" s="2"/>
      <c r="F135" s="2"/>
    </row>
    <row r="136" spans="1:6">
      <c r="A136" s="2"/>
      <c r="B136" s="2"/>
      <c r="C136" s="2"/>
      <c r="D136" s="2"/>
      <c r="E136" s="2"/>
      <c r="F136" s="2"/>
    </row>
    <row r="137" spans="1:6">
      <c r="A137" s="2"/>
      <c r="B137" s="2"/>
      <c r="C137" s="2"/>
      <c r="D137" s="2"/>
      <c r="E137" s="2"/>
      <c r="F137" s="2"/>
    </row>
    <row r="138" spans="1:6">
      <c r="A138" s="2"/>
      <c r="B138" s="2"/>
      <c r="C138" s="2"/>
      <c r="D138" s="2"/>
      <c r="E138" s="2"/>
      <c r="F138" s="2"/>
    </row>
    <row r="139" spans="1:6">
      <c r="A139" s="2"/>
      <c r="B139" s="2"/>
      <c r="C139" s="2"/>
      <c r="D139" s="2"/>
      <c r="E139" s="2"/>
      <c r="F139" s="2"/>
    </row>
    <row r="140" spans="1:6">
      <c r="A140" s="2"/>
      <c r="B140" s="2"/>
      <c r="C140" s="2"/>
      <c r="D140" s="2"/>
      <c r="E140" s="2"/>
      <c r="F140" s="2"/>
    </row>
    <row r="141" spans="1:6">
      <c r="A141" s="2"/>
      <c r="B141" s="2"/>
      <c r="C141" s="2"/>
      <c r="D141" s="2"/>
      <c r="E141" s="2"/>
      <c r="F141" s="2"/>
    </row>
    <row r="142" spans="1:6">
      <c r="A142" s="2"/>
      <c r="B142" s="2"/>
      <c r="C142" s="2"/>
      <c r="D142" s="2"/>
      <c r="E142" s="2"/>
      <c r="F142" s="2"/>
    </row>
    <row r="143" spans="1:6">
      <c r="A143" s="2"/>
      <c r="B143" s="2"/>
      <c r="C143" s="2"/>
      <c r="D143" s="2"/>
      <c r="E143" s="2"/>
      <c r="F143" s="2"/>
    </row>
    <row r="144" spans="1:6">
      <c r="A144" s="2"/>
      <c r="B144" s="2"/>
      <c r="C144" s="2"/>
      <c r="D144" s="2"/>
      <c r="E144" s="2"/>
      <c r="F144" s="2"/>
    </row>
    <row r="145" spans="1:6">
      <c r="A145" s="2"/>
      <c r="B145" s="2"/>
      <c r="C145" s="2"/>
      <c r="D145" s="2"/>
      <c r="E145" s="2"/>
      <c r="F145" s="2"/>
    </row>
    <row r="146" spans="1:6">
      <c r="A146" s="2"/>
      <c r="B146" s="2"/>
      <c r="C146" s="2"/>
      <c r="D146" s="2"/>
      <c r="E146" s="2"/>
      <c r="F146" s="2"/>
    </row>
    <row r="147" spans="1:6">
      <c r="A147" s="2"/>
      <c r="B147" s="2"/>
      <c r="C147" s="2"/>
      <c r="D147" s="2"/>
      <c r="E147" s="2"/>
      <c r="F147" s="2"/>
    </row>
    <row r="148" spans="1:6">
      <c r="A148" s="2"/>
      <c r="B148" s="2"/>
      <c r="C148" s="2"/>
      <c r="D148" s="2"/>
      <c r="E148" s="2"/>
      <c r="F148" s="2"/>
    </row>
    <row r="149" spans="1:6">
      <c r="A149" s="2"/>
      <c r="B149" s="2"/>
      <c r="C149" s="2"/>
      <c r="D149" s="2"/>
      <c r="E149" s="2"/>
      <c r="F149" s="2"/>
    </row>
    <row r="150" spans="1:6">
      <c r="A150" s="2"/>
      <c r="B150" s="2"/>
      <c r="C150" s="2"/>
      <c r="D150" s="2"/>
      <c r="E150" s="2"/>
      <c r="F150" s="2"/>
    </row>
    <row r="151" spans="1:6">
      <c r="A151" s="2"/>
      <c r="B151" s="2"/>
      <c r="C151" s="2"/>
      <c r="D151" s="2"/>
      <c r="E151" s="2"/>
      <c r="F151" s="2"/>
    </row>
    <row r="152" spans="1:6">
      <c r="A152" s="2"/>
      <c r="B152" s="2"/>
      <c r="C152" s="2"/>
      <c r="D152" s="2"/>
      <c r="E152" s="2"/>
      <c r="F152" s="2"/>
    </row>
    <row r="153" spans="1:6">
      <c r="A153" s="2"/>
      <c r="B153" s="2"/>
      <c r="C153" s="2"/>
      <c r="D153" s="2"/>
      <c r="E153" s="2"/>
      <c r="F153" s="2"/>
    </row>
    <row r="154" spans="1:6">
      <c r="A154" s="2"/>
      <c r="B154" s="2"/>
      <c r="C154" s="2"/>
      <c r="D154" s="2"/>
      <c r="E154" s="2"/>
      <c r="F154" s="2"/>
    </row>
    <row r="155" spans="1:6">
      <c r="A155" s="2"/>
      <c r="B155" s="2"/>
      <c r="C155" s="2"/>
      <c r="D155" s="2"/>
      <c r="E155" s="2"/>
      <c r="F155" s="2"/>
    </row>
    <row r="156" spans="1:6">
      <c r="A156" s="2"/>
      <c r="B156" s="2"/>
      <c r="C156" s="2"/>
      <c r="D156" s="2"/>
      <c r="E156" s="2"/>
      <c r="F156" s="2"/>
    </row>
    <row r="157" spans="1:6">
      <c r="A157" s="2"/>
      <c r="B157" s="2"/>
      <c r="C157" s="2"/>
      <c r="D157" s="2"/>
      <c r="E157" s="2"/>
      <c r="F157" s="2"/>
    </row>
    <row r="158" spans="1:6">
      <c r="A158" s="2"/>
      <c r="B158" s="2"/>
      <c r="C158" s="2"/>
      <c r="D158" s="2"/>
      <c r="E158" s="2"/>
      <c r="F158" s="2"/>
    </row>
    <row r="159" spans="1:6">
      <c r="A159" s="2"/>
      <c r="B159" s="2"/>
      <c r="C159" s="2"/>
      <c r="D159" s="2"/>
      <c r="E159" s="2"/>
      <c r="F159" s="2"/>
    </row>
    <row r="160" spans="1:6">
      <c r="A160" s="2"/>
      <c r="B160" s="2"/>
      <c r="C160" s="2"/>
      <c r="D160" s="2"/>
      <c r="E160" s="2"/>
      <c r="F160" s="2"/>
    </row>
    <row r="161" spans="1:6">
      <c r="A161" s="2"/>
      <c r="B161" s="2"/>
      <c r="C161" s="2"/>
      <c r="D161" s="2"/>
      <c r="E161" s="2"/>
      <c r="F161" s="2"/>
    </row>
    <row r="162" spans="1:6">
      <c r="A162" s="2"/>
      <c r="B162" s="2"/>
      <c r="C162" s="2"/>
      <c r="D162" s="2"/>
      <c r="E162" s="2"/>
      <c r="F162" s="2"/>
    </row>
    <row r="163" spans="1:6">
      <c r="A163" s="2"/>
      <c r="B163" s="2"/>
      <c r="C163" s="2"/>
      <c r="D163" s="2"/>
      <c r="E163" s="2"/>
      <c r="F163" s="2"/>
    </row>
    <row r="164" spans="1:6">
      <c r="A164" s="2"/>
      <c r="B164" s="2"/>
      <c r="C164" s="2"/>
      <c r="D164" s="2"/>
      <c r="E164" s="2"/>
      <c r="F164" s="2"/>
    </row>
    <row r="165" spans="1:6">
      <c r="A165" s="2"/>
      <c r="B165" s="2"/>
      <c r="C165" s="2"/>
      <c r="D165" s="2"/>
      <c r="E165" s="2"/>
      <c r="F165" s="2"/>
    </row>
    <row r="166" spans="1:6">
      <c r="A166" s="2"/>
      <c r="B166" s="2"/>
      <c r="C166" s="2"/>
      <c r="D166" s="2"/>
      <c r="E166" s="2"/>
      <c r="F166" s="2"/>
    </row>
    <row r="167" spans="1:6">
      <c r="A167" s="2"/>
      <c r="B167" s="2"/>
      <c r="C167" s="2"/>
      <c r="D167" s="2"/>
      <c r="E167" s="2"/>
      <c r="F167" s="2"/>
    </row>
    <row r="168" spans="1:6">
      <c r="A168" s="2"/>
      <c r="B168" s="2"/>
      <c r="C168" s="2"/>
      <c r="D168" s="2"/>
      <c r="E168" s="2"/>
      <c r="F168" s="2"/>
    </row>
    <row r="169" spans="1:6">
      <c r="A169" s="2"/>
      <c r="B169" s="2"/>
      <c r="C169" s="2"/>
      <c r="D169" s="2"/>
      <c r="E169" s="2"/>
      <c r="F169" s="2"/>
    </row>
    <row r="170" spans="1:6">
      <c r="A170" s="2"/>
      <c r="B170" s="2"/>
      <c r="C170" s="2"/>
      <c r="D170" s="2"/>
      <c r="E170" s="2"/>
      <c r="F170" s="2"/>
    </row>
    <row r="171" spans="1:6">
      <c r="A171" s="2"/>
      <c r="B171" s="2"/>
      <c r="C171" s="2"/>
      <c r="D171" s="2"/>
      <c r="E171" s="2"/>
      <c r="F171" s="2"/>
    </row>
    <row r="172" spans="1:6">
      <c r="A172" s="2"/>
      <c r="B172" s="2"/>
      <c r="C172" s="2"/>
      <c r="D172" s="2"/>
      <c r="E172" s="2"/>
      <c r="F172" s="2"/>
    </row>
    <row r="173" spans="1:6">
      <c r="A173" s="2"/>
      <c r="B173" s="2"/>
      <c r="C173" s="2"/>
      <c r="D173" s="2"/>
      <c r="E173" s="2"/>
      <c r="F173" s="2"/>
    </row>
    <row r="174" spans="1:6">
      <c r="A174" s="2"/>
      <c r="B174" s="2"/>
      <c r="C174" s="2"/>
      <c r="D174" s="2"/>
      <c r="E174" s="2"/>
      <c r="F174" s="2"/>
    </row>
    <row r="175" spans="1:6">
      <c r="A175" s="2"/>
      <c r="B175" s="2"/>
      <c r="C175" s="2"/>
      <c r="D175" s="2"/>
      <c r="E175" s="2"/>
      <c r="F175" s="2"/>
    </row>
    <row r="176" spans="1:6">
      <c r="A176" s="2"/>
      <c r="B176" s="2"/>
      <c r="C176" s="2"/>
      <c r="D176" s="2"/>
      <c r="E176" s="2"/>
      <c r="F176" s="2"/>
    </row>
    <row r="177" spans="1:6">
      <c r="A177" s="2"/>
      <c r="B177" s="2"/>
      <c r="C177" s="2"/>
      <c r="D177" s="2"/>
      <c r="E177" s="2"/>
      <c r="F177" s="2"/>
    </row>
    <row r="178" spans="1:6">
      <c r="A178" s="2"/>
      <c r="B178" s="2"/>
      <c r="C178" s="2"/>
      <c r="D178" s="2"/>
      <c r="E178" s="2"/>
      <c r="F178" s="2"/>
    </row>
    <row r="179" spans="1:6">
      <c r="A179" s="2"/>
      <c r="B179" s="2"/>
      <c r="C179" s="2"/>
      <c r="D179" s="2"/>
      <c r="E179" s="2"/>
      <c r="F179" s="2"/>
    </row>
    <row r="180" spans="1:6">
      <c r="A180" s="2"/>
      <c r="B180" s="2"/>
      <c r="C180" s="2"/>
      <c r="D180" s="2"/>
      <c r="E180" s="2"/>
      <c r="F180" s="2"/>
    </row>
    <row r="181" spans="1:6">
      <c r="A181" s="2"/>
      <c r="B181" s="2"/>
      <c r="C181" s="2"/>
      <c r="D181" s="2"/>
      <c r="E181" s="2"/>
      <c r="F181" s="2"/>
    </row>
    <row r="182" spans="1:6">
      <c r="A182" s="2"/>
      <c r="B182" s="2"/>
      <c r="C182" s="2"/>
      <c r="D182" s="2"/>
      <c r="E182" s="2"/>
      <c r="F182" s="2"/>
    </row>
    <row r="183" spans="1:6">
      <c r="A183" s="2"/>
      <c r="B183" s="2"/>
      <c r="C183" s="2"/>
      <c r="D183" s="2"/>
      <c r="E183" s="2"/>
      <c r="F183" s="2"/>
    </row>
    <row r="184" spans="1:6">
      <c r="A184" s="2"/>
      <c r="B184" s="2"/>
      <c r="C184" s="2"/>
      <c r="D184" s="2"/>
      <c r="E184" s="2"/>
      <c r="F184" s="2"/>
    </row>
    <row r="185" spans="1:6">
      <c r="A185" s="2"/>
      <c r="B185" s="2"/>
      <c r="C185" s="2"/>
      <c r="D185" s="2"/>
      <c r="E185" s="2"/>
      <c r="F185" s="2"/>
    </row>
    <row r="186" spans="1:6">
      <c r="A186" s="2"/>
      <c r="B186" s="2"/>
      <c r="C186" s="2"/>
      <c r="D186" s="2"/>
      <c r="E186" s="2"/>
      <c r="F186" s="2"/>
    </row>
    <row r="187" spans="1:6">
      <c r="A187" s="2"/>
      <c r="B187" s="2"/>
      <c r="C187" s="2"/>
      <c r="D187" s="2"/>
      <c r="E187" s="2"/>
      <c r="F187" s="2"/>
    </row>
    <row r="188" spans="1:6">
      <c r="A188" s="2"/>
      <c r="B188" s="2"/>
      <c r="C188" s="2"/>
      <c r="D188" s="2"/>
      <c r="E188" s="2"/>
      <c r="F188" s="2"/>
    </row>
    <row r="189" spans="1:6">
      <c r="A189" s="2"/>
      <c r="B189" s="2"/>
      <c r="C189" s="2"/>
      <c r="D189" s="2"/>
      <c r="E189" s="2"/>
      <c r="F189" s="2"/>
    </row>
    <row r="190" spans="1:6">
      <c r="A190" s="2"/>
      <c r="B190" s="2"/>
      <c r="C190" s="2"/>
      <c r="D190" s="2"/>
      <c r="E190" s="2"/>
      <c r="F190" s="2"/>
    </row>
  </sheetData>
  <customSheetViews>
    <customSheetView guid="{141D05B7-EC03-4D54-B355-18B30B95005C}" showPageBreaks="1" showGridLines="0" topLeftCell="A10">
      <selection activeCell="A23" sqref="A23"/>
      <pageMargins left="0" right="0" top="0" bottom="0" header="0" footer="0"/>
      <pageSetup scale="85" orientation="portrait" r:id="rId1"/>
      <headerFooter alignWithMargins="0">
        <oddFooter>&amp;C&amp;"Times New Roman,Regular"Page &amp;P</oddFooter>
      </headerFooter>
    </customSheetView>
    <customSheetView guid="{9D049D41-B99B-4004-9128-98F3E5E97A8B}" showPageBreaks="1" showGridLines="0" topLeftCell="A10">
      <selection activeCell="A23" sqref="A23"/>
      <pageMargins left="0" right="0" top="0" bottom="0" header="0" footer="0"/>
      <pageSetup scale="85" orientation="portrait" r:id="rId2"/>
      <headerFooter alignWithMargins="0">
        <oddFooter>&amp;C&amp;"Times New Roman,Regular"Page &amp;P</oddFooter>
      </headerFooter>
    </customSheetView>
  </customSheetViews>
  <mergeCells count="4">
    <mergeCell ref="A27:F27"/>
    <mergeCell ref="A5:F5"/>
    <mergeCell ref="A11:F11"/>
    <mergeCell ref="A18:F18"/>
  </mergeCells>
  <phoneticPr fontId="0" type="noConversion"/>
  <printOptions horizontalCentered="1"/>
  <pageMargins left="0.25" right="0.25" top="0.75" bottom="0.75" header="0.3" footer="0.3"/>
  <pageSetup scale="75" orientation="portrait" r:id="rId3"/>
  <headerFooter alignWithMargins="0">
    <oddFooter>&amp;C&amp;"Times New Roman,Regular"Page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S1202"/>
  <sheetViews>
    <sheetView showGridLines="0" topLeftCell="A1088" zoomScaleNormal="100" zoomScaleSheetLayoutView="115" workbookViewId="0">
      <selection activeCell="K1130" sqref="K1130:M1130"/>
    </sheetView>
  </sheetViews>
  <sheetFormatPr defaultColWidth="9.140625" defaultRowHeight="12.75"/>
  <cols>
    <col min="1" max="1" width="10.7109375" style="5" customWidth="1"/>
    <col min="2" max="2" width="10.42578125" style="5" customWidth="1"/>
    <col min="3" max="3" width="12.5703125" style="5" customWidth="1"/>
    <col min="4" max="4" width="11.140625" style="5" customWidth="1"/>
    <col min="5" max="5" width="10.28515625" style="5" customWidth="1"/>
    <col min="6" max="6" width="16.85546875" style="5" customWidth="1"/>
    <col min="7" max="7" width="27.42578125" style="5" customWidth="1"/>
    <col min="8" max="8" width="4" style="5" customWidth="1"/>
    <col min="9" max="11" width="9.140625" style="5"/>
    <col min="12" max="12" width="10.42578125" style="5" customWidth="1"/>
    <col min="13" max="13" width="15.140625" style="5" customWidth="1"/>
    <col min="14" max="14" width="9.140625" style="5"/>
    <col min="15" max="15" width="7.140625" style="5" customWidth="1"/>
    <col min="16" max="16384" width="9.140625" style="5"/>
  </cols>
  <sheetData>
    <row r="1" spans="1:19" s="12" customFormat="1" ht="15">
      <c r="A1" s="5" t="s">
        <v>115</v>
      </c>
      <c r="B1" s="2"/>
      <c r="C1" s="2"/>
      <c r="D1" s="2"/>
      <c r="E1" s="2"/>
      <c r="F1" s="2"/>
      <c r="G1" s="2"/>
      <c r="H1" s="2"/>
      <c r="I1" s="325" t="s">
        <v>23</v>
      </c>
      <c r="J1" s="2"/>
      <c r="K1" s="2"/>
      <c r="L1" s="2"/>
      <c r="M1" s="2"/>
      <c r="N1" s="2"/>
      <c r="O1" s="2"/>
      <c r="P1" s="2"/>
      <c r="Q1" s="2"/>
      <c r="R1" s="2"/>
      <c r="S1" s="2"/>
    </row>
    <row r="2" spans="1:19" s="12" customFormat="1" ht="15">
      <c r="A2" s="5"/>
      <c r="B2" s="2"/>
      <c r="C2" s="2"/>
      <c r="D2" s="2"/>
      <c r="E2" s="2"/>
      <c r="F2" s="2"/>
      <c r="G2" s="2"/>
      <c r="H2" s="2"/>
      <c r="I2" s="2"/>
      <c r="J2" s="2"/>
      <c r="K2" s="2"/>
      <c r="L2" s="2"/>
      <c r="M2" s="2"/>
      <c r="N2" s="2"/>
      <c r="O2" s="2"/>
      <c r="P2" s="2"/>
      <c r="Q2" s="2"/>
      <c r="R2" s="2"/>
      <c r="S2" s="2"/>
    </row>
    <row r="3" spans="1:19" ht="18.75">
      <c r="A3" s="485" t="s">
        <v>116</v>
      </c>
    </row>
    <row r="4" spans="1:19" s="6" customFormat="1" ht="137.25" customHeight="1">
      <c r="A4" s="1016" t="s">
        <v>117</v>
      </c>
      <c r="B4" s="1016"/>
      <c r="C4" s="1016"/>
      <c r="D4" s="1016"/>
      <c r="E4" s="1016"/>
      <c r="F4" s="1016"/>
      <c r="G4" s="1017"/>
    </row>
    <row r="5" spans="1:19" s="6" customFormat="1" ht="106.5" customHeight="1">
      <c r="A5" s="1020" t="s">
        <v>118</v>
      </c>
      <c r="B5" s="1016"/>
      <c r="C5" s="1016"/>
      <c r="D5" s="1016"/>
      <c r="E5" s="1016"/>
      <c r="F5" s="1016"/>
      <c r="G5" s="1016"/>
    </row>
    <row r="6" spans="1:19" s="260" customFormat="1" ht="231.75" customHeight="1">
      <c r="A6" s="1018" t="s">
        <v>119</v>
      </c>
      <c r="B6" s="1019"/>
      <c r="C6" s="1019"/>
      <c r="D6" s="1019"/>
      <c r="E6" s="1019"/>
      <c r="F6" s="1019"/>
      <c r="G6" s="1019"/>
    </row>
    <row r="7" spans="1:19">
      <c r="A7" s="1015" t="s">
        <v>120</v>
      </c>
      <c r="B7" s="1015"/>
      <c r="C7" s="1015"/>
      <c r="D7" s="1015"/>
      <c r="E7" s="1015"/>
      <c r="F7" s="1015"/>
    </row>
    <row r="8" spans="1:19" ht="12.75" customHeight="1">
      <c r="A8" s="1015" t="s">
        <v>121</v>
      </c>
      <c r="B8" s="1015"/>
      <c r="C8" s="1015"/>
      <c r="D8" s="1015"/>
      <c r="E8" s="1015"/>
      <c r="F8" s="1015"/>
      <c r="G8" s="491"/>
      <c r="H8" s="491"/>
      <c r="I8" s="491"/>
      <c r="J8" s="491"/>
    </row>
    <row r="9" spans="1:19" ht="15">
      <c r="A9" s="505"/>
      <c r="D9" s="491"/>
    </row>
    <row r="10" spans="1:19" ht="15.75" customHeight="1">
      <c r="A10" s="5" t="s">
        <v>122</v>
      </c>
      <c r="B10" s="864">
        <v>5</v>
      </c>
      <c r="D10" s="491"/>
    </row>
    <row r="11" spans="1:19" ht="15.75" customHeight="1">
      <c r="A11" s="865" t="s">
        <v>123</v>
      </c>
      <c r="B11" s="866">
        <v>46204</v>
      </c>
      <c r="D11" s="491"/>
    </row>
    <row r="12" spans="1:19" ht="15.75" customHeight="1">
      <c r="A12" s="865" t="s">
        <v>124</v>
      </c>
      <c r="B12" s="866">
        <v>46568</v>
      </c>
      <c r="D12" s="491"/>
    </row>
    <row r="13" spans="1:19" ht="12.75" customHeight="1">
      <c r="A13" s="506" t="s">
        <v>125</v>
      </c>
      <c r="B13" s="506" t="s">
        <v>126</v>
      </c>
    </row>
    <row r="14" spans="1:19" ht="12.75" customHeight="1">
      <c r="A14" s="491"/>
      <c r="B14" s="492" t="s">
        <v>127</v>
      </c>
      <c r="C14" s="1005" t="s">
        <v>128</v>
      </c>
      <c r="D14" s="1005"/>
      <c r="E14" s="1006"/>
      <c r="F14" s="1007" t="s">
        <v>129</v>
      </c>
      <c r="G14" s="1005"/>
      <c r="H14" s="1005"/>
      <c r="I14" s="1006"/>
      <c r="J14" s="493" t="s">
        <v>130</v>
      </c>
      <c r="K14" s="1005" t="s">
        <v>131</v>
      </c>
      <c r="L14" s="1006"/>
      <c r="M14" s="493" t="s">
        <v>132</v>
      </c>
      <c r="N14" s="1005" t="s">
        <v>133</v>
      </c>
      <c r="O14" s="1006"/>
      <c r="P14" s="493" t="s">
        <v>134</v>
      </c>
      <c r="Q14" s="493" t="s">
        <v>135</v>
      </c>
    </row>
    <row r="15" spans="1:19" ht="12.75" customHeight="1">
      <c r="A15" s="491"/>
      <c r="B15" s="1008">
        <v>5</v>
      </c>
      <c r="C15" s="978" t="s">
        <v>136</v>
      </c>
      <c r="D15" s="979"/>
      <c r="E15" s="980"/>
      <c r="F15" s="987" t="s">
        <v>137</v>
      </c>
      <c r="G15" s="988"/>
      <c r="H15" s="988"/>
      <c r="I15" s="989"/>
      <c r="J15" s="862" t="s">
        <v>138</v>
      </c>
      <c r="K15" s="975" t="s">
        <v>139</v>
      </c>
      <c r="L15" s="976"/>
      <c r="M15" s="494" t="s">
        <v>140</v>
      </c>
      <c r="N15" s="977">
        <v>0.97</v>
      </c>
      <c r="O15" s="961"/>
      <c r="P15" s="495">
        <v>0.97</v>
      </c>
      <c r="Q15" s="495">
        <v>1.27</v>
      </c>
    </row>
    <row r="16" spans="1:19" ht="12.75" customHeight="1">
      <c r="A16" s="491"/>
      <c r="B16" s="1009"/>
      <c r="C16" s="981"/>
      <c r="D16" s="982"/>
      <c r="E16" s="983"/>
      <c r="F16" s="990"/>
      <c r="G16" s="991"/>
      <c r="H16" s="991"/>
      <c r="I16" s="992"/>
      <c r="J16" s="867" t="s">
        <v>141</v>
      </c>
      <c r="K16" s="958" t="s">
        <v>140</v>
      </c>
      <c r="L16" s="959"/>
      <c r="M16" s="500" t="s">
        <v>140</v>
      </c>
      <c r="N16" s="960" t="s">
        <v>140</v>
      </c>
      <c r="O16" s="961"/>
      <c r="P16" s="498" t="s">
        <v>140</v>
      </c>
      <c r="Q16" s="498" t="s">
        <v>140</v>
      </c>
    </row>
    <row r="17" spans="1:17" ht="12.75" customHeight="1">
      <c r="A17" s="491"/>
      <c r="B17" s="1009"/>
      <c r="C17" s="981"/>
      <c r="D17" s="982"/>
      <c r="E17" s="983"/>
      <c r="F17" s="987" t="s">
        <v>142</v>
      </c>
      <c r="G17" s="988"/>
      <c r="H17" s="988"/>
      <c r="I17" s="989"/>
      <c r="J17" s="863" t="s">
        <v>138</v>
      </c>
      <c r="K17" s="975" t="s">
        <v>139</v>
      </c>
      <c r="L17" s="976"/>
      <c r="M17" s="496" t="s">
        <v>140</v>
      </c>
      <c r="N17" s="977">
        <v>0.99</v>
      </c>
      <c r="O17" s="961"/>
      <c r="P17" s="499">
        <v>0.99</v>
      </c>
      <c r="Q17" s="499">
        <v>1.33</v>
      </c>
    </row>
    <row r="18" spans="1:17" ht="12.75" customHeight="1">
      <c r="A18" s="491"/>
      <c r="B18" s="1009"/>
      <c r="C18" s="981"/>
      <c r="D18" s="982"/>
      <c r="E18" s="983"/>
      <c r="F18" s="990"/>
      <c r="G18" s="991"/>
      <c r="H18" s="991"/>
      <c r="I18" s="992"/>
      <c r="J18" s="867" t="s">
        <v>141</v>
      </c>
      <c r="K18" s="958" t="s">
        <v>140</v>
      </c>
      <c r="L18" s="959"/>
      <c r="M18" s="500" t="s">
        <v>140</v>
      </c>
      <c r="N18" s="960" t="s">
        <v>140</v>
      </c>
      <c r="O18" s="961"/>
      <c r="P18" s="498" t="s">
        <v>140</v>
      </c>
      <c r="Q18" s="498" t="s">
        <v>140</v>
      </c>
    </row>
    <row r="19" spans="1:17" ht="12.75" customHeight="1">
      <c r="A19" s="491"/>
      <c r="B19" s="1009"/>
      <c r="C19" s="981"/>
      <c r="D19" s="982"/>
      <c r="E19" s="983"/>
      <c r="F19" s="987" t="s">
        <v>143</v>
      </c>
      <c r="G19" s="988"/>
      <c r="H19" s="988"/>
      <c r="I19" s="989"/>
      <c r="J19" s="863" t="s">
        <v>144</v>
      </c>
      <c r="K19" s="975" t="s">
        <v>145</v>
      </c>
      <c r="L19" s="976"/>
      <c r="M19" s="496" t="s">
        <v>140</v>
      </c>
      <c r="N19" s="977">
        <v>0</v>
      </c>
      <c r="O19" s="961"/>
      <c r="P19" s="499">
        <v>0</v>
      </c>
      <c r="Q19" s="498" t="s">
        <v>140</v>
      </c>
    </row>
    <row r="20" spans="1:17" ht="12.75" customHeight="1">
      <c r="A20" s="491"/>
      <c r="B20" s="1009"/>
      <c r="C20" s="981"/>
      <c r="D20" s="982"/>
      <c r="E20" s="983"/>
      <c r="F20" s="993"/>
      <c r="G20" s="994"/>
      <c r="H20" s="994"/>
      <c r="I20" s="995"/>
      <c r="J20" s="863" t="s">
        <v>146</v>
      </c>
      <c r="K20" s="975" t="s">
        <v>147</v>
      </c>
      <c r="L20" s="976"/>
      <c r="M20" s="496" t="s">
        <v>140</v>
      </c>
      <c r="N20" s="977">
        <v>84.2</v>
      </c>
      <c r="O20" s="961"/>
      <c r="P20" s="499">
        <v>84.2</v>
      </c>
      <c r="Q20" s="499">
        <v>93.9</v>
      </c>
    </row>
    <row r="21" spans="1:17" ht="12.75" customHeight="1">
      <c r="A21" s="491"/>
      <c r="B21" s="1009"/>
      <c r="C21" s="981"/>
      <c r="D21" s="982"/>
      <c r="E21" s="983"/>
      <c r="F21" s="993"/>
      <c r="G21" s="994"/>
      <c r="H21" s="994"/>
      <c r="I21" s="995"/>
      <c r="J21" s="863" t="s">
        <v>148</v>
      </c>
      <c r="K21" s="975" t="s">
        <v>149</v>
      </c>
      <c r="L21" s="976"/>
      <c r="M21" s="496" t="s">
        <v>140</v>
      </c>
      <c r="N21" s="977">
        <v>64.2</v>
      </c>
      <c r="O21" s="961"/>
      <c r="P21" s="499">
        <v>64.2</v>
      </c>
      <c r="Q21" s="499">
        <v>78.599999999999994</v>
      </c>
    </row>
    <row r="22" spans="1:17" ht="12.75" customHeight="1">
      <c r="A22" s="491"/>
      <c r="B22" s="1009"/>
      <c r="C22" s="981"/>
      <c r="D22" s="982"/>
      <c r="E22" s="983"/>
      <c r="F22" s="993"/>
      <c r="G22" s="994"/>
      <c r="H22" s="994"/>
      <c r="I22" s="995"/>
      <c r="J22" s="863" t="s">
        <v>150</v>
      </c>
      <c r="K22" s="975" t="s">
        <v>151</v>
      </c>
      <c r="L22" s="976"/>
      <c r="M22" s="496" t="s">
        <v>140</v>
      </c>
      <c r="N22" s="977">
        <v>92</v>
      </c>
      <c r="O22" s="961"/>
      <c r="P22" s="499">
        <v>92</v>
      </c>
      <c r="Q22" s="499">
        <v>112</v>
      </c>
    </row>
    <row r="23" spans="1:17" ht="12.75" customHeight="1">
      <c r="A23" s="491"/>
      <c r="B23" s="1009"/>
      <c r="C23" s="981"/>
      <c r="D23" s="982"/>
      <c r="E23" s="983"/>
      <c r="F23" s="990"/>
      <c r="G23" s="991"/>
      <c r="H23" s="991"/>
      <c r="I23" s="992"/>
      <c r="J23" s="867" t="s">
        <v>141</v>
      </c>
      <c r="K23" s="958" t="s">
        <v>140</v>
      </c>
      <c r="L23" s="959"/>
      <c r="M23" s="500" t="s">
        <v>140</v>
      </c>
      <c r="N23" s="960" t="s">
        <v>140</v>
      </c>
      <c r="O23" s="961"/>
      <c r="P23" s="498" t="s">
        <v>140</v>
      </c>
      <c r="Q23" s="498" t="s">
        <v>140</v>
      </c>
    </row>
    <row r="24" spans="1:17" ht="12.75" customHeight="1">
      <c r="A24" s="491"/>
      <c r="B24" s="1009"/>
      <c r="C24" s="981"/>
      <c r="D24" s="982"/>
      <c r="E24" s="983"/>
      <c r="F24" s="987" t="s">
        <v>152</v>
      </c>
      <c r="G24" s="988"/>
      <c r="H24" s="988"/>
      <c r="I24" s="989"/>
      <c r="J24" s="863" t="s">
        <v>153</v>
      </c>
      <c r="K24" s="975" t="s">
        <v>154</v>
      </c>
      <c r="L24" s="976"/>
      <c r="M24" s="497">
        <v>128222.7</v>
      </c>
      <c r="N24" s="977">
        <v>52.46</v>
      </c>
      <c r="O24" s="961"/>
      <c r="P24" s="499">
        <v>52.46</v>
      </c>
      <c r="Q24" s="499">
        <v>52.46</v>
      </c>
    </row>
    <row r="25" spans="1:17" ht="12.75" customHeight="1">
      <c r="A25" s="491"/>
      <c r="B25" s="1009"/>
      <c r="C25" s="981"/>
      <c r="D25" s="982"/>
      <c r="E25" s="983"/>
      <c r="F25" s="993"/>
      <c r="G25" s="994"/>
      <c r="H25" s="994"/>
      <c r="I25" s="995"/>
      <c r="J25" s="863" t="s">
        <v>155</v>
      </c>
      <c r="K25" s="975" t="s">
        <v>156</v>
      </c>
      <c r="L25" s="976"/>
      <c r="M25" s="497">
        <v>320556.76</v>
      </c>
      <c r="N25" s="977">
        <v>78.92</v>
      </c>
      <c r="O25" s="961"/>
      <c r="P25" s="499">
        <v>78.92</v>
      </c>
      <c r="Q25" s="499">
        <v>78.92</v>
      </c>
    </row>
    <row r="26" spans="1:17" ht="12.75" customHeight="1">
      <c r="A26" s="491"/>
      <c r="B26" s="1009"/>
      <c r="C26" s="981"/>
      <c r="D26" s="982"/>
      <c r="E26" s="983"/>
      <c r="F26" s="990"/>
      <c r="G26" s="991"/>
      <c r="H26" s="991"/>
      <c r="I26" s="992"/>
      <c r="J26" s="867" t="s">
        <v>141</v>
      </c>
      <c r="K26" s="958" t="s">
        <v>140</v>
      </c>
      <c r="L26" s="959"/>
      <c r="M26" s="501">
        <v>448779.46</v>
      </c>
      <c r="N26" s="960" t="s">
        <v>140</v>
      </c>
      <c r="O26" s="961"/>
      <c r="P26" s="498" t="s">
        <v>140</v>
      </c>
      <c r="Q26" s="498" t="s">
        <v>140</v>
      </c>
    </row>
    <row r="27" spans="1:17" ht="12.75" customHeight="1">
      <c r="A27" s="491"/>
      <c r="B27" s="1009"/>
      <c r="C27" s="981"/>
      <c r="D27" s="982"/>
      <c r="E27" s="983"/>
      <c r="F27" s="987" t="s">
        <v>157</v>
      </c>
      <c r="G27" s="988"/>
      <c r="H27" s="988"/>
      <c r="I27" s="989"/>
      <c r="J27" s="863" t="s">
        <v>158</v>
      </c>
      <c r="K27" s="975" t="s">
        <v>159</v>
      </c>
      <c r="L27" s="976"/>
      <c r="M27" s="496" t="s">
        <v>140</v>
      </c>
      <c r="N27" s="977">
        <v>86.1</v>
      </c>
      <c r="O27" s="961"/>
      <c r="P27" s="499">
        <v>86.1</v>
      </c>
      <c r="Q27" s="499">
        <v>150</v>
      </c>
    </row>
    <row r="28" spans="1:17" ht="12.75" customHeight="1">
      <c r="A28" s="491"/>
      <c r="B28" s="1009"/>
      <c r="C28" s="981"/>
      <c r="D28" s="982"/>
      <c r="E28" s="983"/>
      <c r="F28" s="990"/>
      <c r="G28" s="991"/>
      <c r="H28" s="991"/>
      <c r="I28" s="992"/>
      <c r="J28" s="867" t="s">
        <v>141</v>
      </c>
      <c r="K28" s="958" t="s">
        <v>140</v>
      </c>
      <c r="L28" s="959"/>
      <c r="M28" s="500" t="s">
        <v>140</v>
      </c>
      <c r="N28" s="960" t="s">
        <v>140</v>
      </c>
      <c r="O28" s="961"/>
      <c r="P28" s="498" t="s">
        <v>140</v>
      </c>
      <c r="Q28" s="498" t="s">
        <v>140</v>
      </c>
    </row>
    <row r="29" spans="1:17" ht="12.75" customHeight="1">
      <c r="A29" s="491"/>
      <c r="B29" s="1009"/>
      <c r="C29" s="981"/>
      <c r="D29" s="982"/>
      <c r="E29" s="983"/>
      <c r="F29" s="987" t="s">
        <v>160</v>
      </c>
      <c r="G29" s="988"/>
      <c r="H29" s="988"/>
      <c r="I29" s="989"/>
      <c r="J29" s="863" t="s">
        <v>138</v>
      </c>
      <c r="K29" s="975" t="s">
        <v>139</v>
      </c>
      <c r="L29" s="976"/>
      <c r="M29" s="496" t="s">
        <v>140</v>
      </c>
      <c r="N29" s="977">
        <v>1.03</v>
      </c>
      <c r="O29" s="961"/>
      <c r="P29" s="499">
        <v>1.03</v>
      </c>
      <c r="Q29" s="499">
        <v>1.17</v>
      </c>
    </row>
    <row r="30" spans="1:17" ht="12.75" customHeight="1">
      <c r="A30" s="491"/>
      <c r="B30" s="1009"/>
      <c r="C30" s="981"/>
      <c r="D30" s="982"/>
      <c r="E30" s="983"/>
      <c r="F30" s="990"/>
      <c r="G30" s="991"/>
      <c r="H30" s="991"/>
      <c r="I30" s="992"/>
      <c r="J30" s="867" t="s">
        <v>141</v>
      </c>
      <c r="K30" s="958" t="s">
        <v>140</v>
      </c>
      <c r="L30" s="959"/>
      <c r="M30" s="500" t="s">
        <v>140</v>
      </c>
      <c r="N30" s="960" t="s">
        <v>140</v>
      </c>
      <c r="O30" s="961"/>
      <c r="P30" s="498" t="s">
        <v>140</v>
      </c>
      <c r="Q30" s="498" t="s">
        <v>140</v>
      </c>
    </row>
    <row r="31" spans="1:17" ht="12.75" customHeight="1">
      <c r="A31" s="491"/>
      <c r="B31" s="1009"/>
      <c r="C31" s="981"/>
      <c r="D31" s="982"/>
      <c r="E31" s="983"/>
      <c r="F31" s="987" t="s">
        <v>161</v>
      </c>
      <c r="G31" s="988"/>
      <c r="H31" s="988"/>
      <c r="I31" s="989"/>
      <c r="J31" s="863" t="s">
        <v>162</v>
      </c>
      <c r="K31" s="975" t="s">
        <v>163</v>
      </c>
      <c r="L31" s="976"/>
      <c r="M31" s="496" t="s">
        <v>140</v>
      </c>
      <c r="N31" s="977">
        <v>27.3</v>
      </c>
      <c r="O31" s="961"/>
      <c r="P31" s="499">
        <v>27.3</v>
      </c>
      <c r="Q31" s="499">
        <v>35</v>
      </c>
    </row>
    <row r="32" spans="1:17" ht="12.75" customHeight="1">
      <c r="A32" s="491"/>
      <c r="B32" s="1009"/>
      <c r="C32" s="981"/>
      <c r="D32" s="982"/>
      <c r="E32" s="983"/>
      <c r="F32" s="993"/>
      <c r="G32" s="994"/>
      <c r="H32" s="994"/>
      <c r="I32" s="995"/>
      <c r="J32" s="863" t="s">
        <v>164</v>
      </c>
      <c r="K32" s="975" t="s">
        <v>165</v>
      </c>
      <c r="L32" s="976"/>
      <c r="M32" s="496" t="s">
        <v>140</v>
      </c>
      <c r="N32" s="977">
        <v>27.3</v>
      </c>
      <c r="O32" s="961"/>
      <c r="P32" s="499">
        <v>27.3</v>
      </c>
      <c r="Q32" s="499">
        <v>35</v>
      </c>
    </row>
    <row r="33" spans="1:17" ht="12.75" customHeight="1">
      <c r="A33" s="491"/>
      <c r="B33" s="1009"/>
      <c r="C33" s="981"/>
      <c r="D33" s="982"/>
      <c r="E33" s="983"/>
      <c r="F33" s="993"/>
      <c r="G33" s="994"/>
      <c r="H33" s="994"/>
      <c r="I33" s="995"/>
      <c r="J33" s="863" t="s">
        <v>166</v>
      </c>
      <c r="K33" s="975" t="s">
        <v>167</v>
      </c>
      <c r="L33" s="976"/>
      <c r="M33" s="496" t="s">
        <v>140</v>
      </c>
      <c r="N33" s="977">
        <v>29.92</v>
      </c>
      <c r="O33" s="961"/>
      <c r="P33" s="499">
        <v>29.92</v>
      </c>
      <c r="Q33" s="499">
        <v>35</v>
      </c>
    </row>
    <row r="34" spans="1:17" ht="12.75" customHeight="1">
      <c r="A34" s="491"/>
      <c r="B34" s="1009"/>
      <c r="C34" s="981"/>
      <c r="D34" s="982"/>
      <c r="E34" s="983"/>
      <c r="F34" s="993"/>
      <c r="G34" s="994"/>
      <c r="H34" s="994"/>
      <c r="I34" s="995"/>
      <c r="J34" s="863" t="s">
        <v>168</v>
      </c>
      <c r="K34" s="975" t="s">
        <v>169</v>
      </c>
      <c r="L34" s="976"/>
      <c r="M34" s="496" t="s">
        <v>140</v>
      </c>
      <c r="N34" s="977">
        <v>29.92</v>
      </c>
      <c r="O34" s="961"/>
      <c r="P34" s="499">
        <v>29.92</v>
      </c>
      <c r="Q34" s="499">
        <v>35</v>
      </c>
    </row>
    <row r="35" spans="1:17" ht="12.75" customHeight="1">
      <c r="A35" s="491"/>
      <c r="B35" s="1009"/>
      <c r="C35" s="981"/>
      <c r="D35" s="982"/>
      <c r="E35" s="983"/>
      <c r="F35" s="990"/>
      <c r="G35" s="991"/>
      <c r="H35" s="991"/>
      <c r="I35" s="992"/>
      <c r="J35" s="867" t="s">
        <v>141</v>
      </c>
      <c r="K35" s="958" t="s">
        <v>140</v>
      </c>
      <c r="L35" s="959"/>
      <c r="M35" s="500" t="s">
        <v>140</v>
      </c>
      <c r="N35" s="960" t="s">
        <v>140</v>
      </c>
      <c r="O35" s="961"/>
      <c r="P35" s="498" t="s">
        <v>140</v>
      </c>
      <c r="Q35" s="498" t="s">
        <v>140</v>
      </c>
    </row>
    <row r="36" spans="1:17" ht="12.75" customHeight="1">
      <c r="A36" s="491"/>
      <c r="B36" s="1009"/>
      <c r="C36" s="981"/>
      <c r="D36" s="982"/>
      <c r="E36" s="983"/>
      <c r="F36" s="987" t="s">
        <v>170</v>
      </c>
      <c r="G36" s="988"/>
      <c r="H36" s="988"/>
      <c r="I36" s="989"/>
      <c r="J36" s="863" t="s">
        <v>162</v>
      </c>
      <c r="K36" s="975" t="s">
        <v>163</v>
      </c>
      <c r="L36" s="976"/>
      <c r="M36" s="496" t="s">
        <v>140</v>
      </c>
      <c r="N36" s="977">
        <v>27.3</v>
      </c>
      <c r="O36" s="961"/>
      <c r="P36" s="499">
        <v>27.3</v>
      </c>
      <c r="Q36" s="499">
        <v>32</v>
      </c>
    </row>
    <row r="37" spans="1:17" ht="12.75" customHeight="1">
      <c r="A37" s="491"/>
      <c r="B37" s="1009"/>
      <c r="C37" s="981"/>
      <c r="D37" s="982"/>
      <c r="E37" s="983"/>
      <c r="F37" s="993"/>
      <c r="G37" s="994"/>
      <c r="H37" s="994"/>
      <c r="I37" s="995"/>
      <c r="J37" s="863" t="s">
        <v>164</v>
      </c>
      <c r="K37" s="975" t="s">
        <v>165</v>
      </c>
      <c r="L37" s="976"/>
      <c r="M37" s="496" t="s">
        <v>140</v>
      </c>
      <c r="N37" s="977">
        <v>27.3</v>
      </c>
      <c r="O37" s="961"/>
      <c r="P37" s="499">
        <v>27.3</v>
      </c>
      <c r="Q37" s="499">
        <v>32</v>
      </c>
    </row>
    <row r="38" spans="1:17" ht="12.75" customHeight="1">
      <c r="A38" s="491"/>
      <c r="B38" s="1009"/>
      <c r="C38" s="981"/>
      <c r="D38" s="982"/>
      <c r="E38" s="983"/>
      <c r="F38" s="993"/>
      <c r="G38" s="994"/>
      <c r="H38" s="994"/>
      <c r="I38" s="995"/>
      <c r="J38" s="863" t="s">
        <v>166</v>
      </c>
      <c r="K38" s="975" t="s">
        <v>167</v>
      </c>
      <c r="L38" s="976"/>
      <c r="M38" s="496" t="s">
        <v>140</v>
      </c>
      <c r="N38" s="977">
        <v>29.92</v>
      </c>
      <c r="O38" s="961"/>
      <c r="P38" s="499">
        <v>29.92</v>
      </c>
      <c r="Q38" s="499">
        <v>36</v>
      </c>
    </row>
    <row r="39" spans="1:17" ht="12.75" customHeight="1">
      <c r="A39" s="491"/>
      <c r="B39" s="1009"/>
      <c r="C39" s="981"/>
      <c r="D39" s="982"/>
      <c r="E39" s="983"/>
      <c r="F39" s="993"/>
      <c r="G39" s="994"/>
      <c r="H39" s="994"/>
      <c r="I39" s="995"/>
      <c r="J39" s="863" t="s">
        <v>168</v>
      </c>
      <c r="K39" s="975" t="s">
        <v>169</v>
      </c>
      <c r="L39" s="976"/>
      <c r="M39" s="496" t="s">
        <v>140</v>
      </c>
      <c r="N39" s="977">
        <v>29.92</v>
      </c>
      <c r="O39" s="961"/>
      <c r="P39" s="499">
        <v>29.92</v>
      </c>
      <c r="Q39" s="499">
        <v>36</v>
      </c>
    </row>
    <row r="40" spans="1:17" ht="12.75" customHeight="1">
      <c r="A40" s="491"/>
      <c r="B40" s="1009"/>
      <c r="C40" s="981"/>
      <c r="D40" s="982"/>
      <c r="E40" s="983"/>
      <c r="F40" s="990"/>
      <c r="G40" s="991"/>
      <c r="H40" s="991"/>
      <c r="I40" s="992"/>
      <c r="J40" s="867" t="s">
        <v>141</v>
      </c>
      <c r="K40" s="958" t="s">
        <v>140</v>
      </c>
      <c r="L40" s="959"/>
      <c r="M40" s="500" t="s">
        <v>140</v>
      </c>
      <c r="N40" s="960" t="s">
        <v>140</v>
      </c>
      <c r="O40" s="961"/>
      <c r="P40" s="498" t="s">
        <v>140</v>
      </c>
      <c r="Q40" s="498" t="s">
        <v>140</v>
      </c>
    </row>
    <row r="41" spans="1:17" ht="12.75" customHeight="1">
      <c r="A41" s="491"/>
      <c r="B41" s="1009"/>
      <c r="C41" s="981"/>
      <c r="D41" s="982"/>
      <c r="E41" s="983"/>
      <c r="F41" s="987" t="s">
        <v>171</v>
      </c>
      <c r="G41" s="988"/>
      <c r="H41" s="988"/>
      <c r="I41" s="989"/>
      <c r="J41" s="863" t="s">
        <v>172</v>
      </c>
      <c r="K41" s="975" t="s">
        <v>173</v>
      </c>
      <c r="L41" s="976"/>
      <c r="M41" s="496" t="s">
        <v>140</v>
      </c>
      <c r="N41" s="977">
        <v>44.88</v>
      </c>
      <c r="O41" s="961"/>
      <c r="P41" s="499">
        <v>44.88</v>
      </c>
      <c r="Q41" s="499">
        <v>50</v>
      </c>
    </row>
    <row r="42" spans="1:17" ht="12.75" customHeight="1">
      <c r="A42" s="491"/>
      <c r="B42" s="1009"/>
      <c r="C42" s="981"/>
      <c r="D42" s="982"/>
      <c r="E42" s="983"/>
      <c r="F42" s="993"/>
      <c r="G42" s="994"/>
      <c r="H42" s="994"/>
      <c r="I42" s="995"/>
      <c r="J42" s="863" t="s">
        <v>162</v>
      </c>
      <c r="K42" s="975" t="s">
        <v>163</v>
      </c>
      <c r="L42" s="976"/>
      <c r="M42" s="496" t="s">
        <v>140</v>
      </c>
      <c r="N42" s="977">
        <v>25</v>
      </c>
      <c r="O42" s="961"/>
      <c r="P42" s="499">
        <v>25</v>
      </c>
      <c r="Q42" s="499">
        <v>28</v>
      </c>
    </row>
    <row r="43" spans="1:17" ht="12.75" customHeight="1">
      <c r="A43" s="491"/>
      <c r="B43" s="1009"/>
      <c r="C43" s="981"/>
      <c r="D43" s="982"/>
      <c r="E43" s="983"/>
      <c r="F43" s="993"/>
      <c r="G43" s="994"/>
      <c r="H43" s="994"/>
      <c r="I43" s="995"/>
      <c r="J43" s="863" t="s">
        <v>174</v>
      </c>
      <c r="K43" s="975" t="s">
        <v>175</v>
      </c>
      <c r="L43" s="976"/>
      <c r="M43" s="496" t="s">
        <v>140</v>
      </c>
      <c r="N43" s="977">
        <v>48.1</v>
      </c>
      <c r="O43" s="961"/>
      <c r="P43" s="499">
        <v>48.1</v>
      </c>
      <c r="Q43" s="499">
        <v>54</v>
      </c>
    </row>
    <row r="44" spans="1:17" ht="12.75" customHeight="1">
      <c r="A44" s="491"/>
      <c r="B44" s="1009"/>
      <c r="C44" s="981"/>
      <c r="D44" s="982"/>
      <c r="E44" s="983"/>
      <c r="F44" s="993"/>
      <c r="G44" s="994"/>
      <c r="H44" s="994"/>
      <c r="I44" s="995"/>
      <c r="J44" s="863" t="s">
        <v>176</v>
      </c>
      <c r="K44" s="975" t="s">
        <v>177</v>
      </c>
      <c r="L44" s="976"/>
      <c r="M44" s="496" t="s">
        <v>140</v>
      </c>
      <c r="N44" s="977">
        <v>26</v>
      </c>
      <c r="O44" s="961"/>
      <c r="P44" s="499">
        <v>26</v>
      </c>
      <c r="Q44" s="499">
        <v>29</v>
      </c>
    </row>
    <row r="45" spans="1:17" ht="12.75" customHeight="1">
      <c r="A45" s="491"/>
      <c r="B45" s="1009"/>
      <c r="C45" s="981"/>
      <c r="D45" s="982"/>
      <c r="E45" s="983"/>
      <c r="F45" s="993"/>
      <c r="G45" s="994"/>
      <c r="H45" s="994"/>
      <c r="I45" s="995"/>
      <c r="J45" s="863" t="s">
        <v>164</v>
      </c>
      <c r="K45" s="975" t="s">
        <v>165</v>
      </c>
      <c r="L45" s="976"/>
      <c r="M45" s="496" t="s">
        <v>140</v>
      </c>
      <c r="N45" s="977">
        <v>25</v>
      </c>
      <c r="O45" s="961"/>
      <c r="P45" s="499">
        <v>25</v>
      </c>
      <c r="Q45" s="499">
        <v>28</v>
      </c>
    </row>
    <row r="46" spans="1:17" ht="12.75" customHeight="1">
      <c r="A46" s="491"/>
      <c r="B46" s="1009"/>
      <c r="C46" s="981"/>
      <c r="D46" s="982"/>
      <c r="E46" s="983"/>
      <c r="F46" s="993"/>
      <c r="G46" s="994"/>
      <c r="H46" s="994"/>
      <c r="I46" s="995"/>
      <c r="J46" s="863" t="s">
        <v>178</v>
      </c>
      <c r="K46" s="975" t="s">
        <v>179</v>
      </c>
      <c r="L46" s="976"/>
      <c r="M46" s="496" t="s">
        <v>140</v>
      </c>
      <c r="N46" s="977">
        <v>62.47</v>
      </c>
      <c r="O46" s="961"/>
      <c r="P46" s="499">
        <v>62.47</v>
      </c>
      <c r="Q46" s="499">
        <v>75</v>
      </c>
    </row>
    <row r="47" spans="1:17" ht="12.75" customHeight="1">
      <c r="A47" s="491"/>
      <c r="B47" s="1009"/>
      <c r="C47" s="981"/>
      <c r="D47" s="982"/>
      <c r="E47" s="983"/>
      <c r="F47" s="993"/>
      <c r="G47" s="994"/>
      <c r="H47" s="994"/>
      <c r="I47" s="995"/>
      <c r="J47" s="863" t="s">
        <v>166</v>
      </c>
      <c r="K47" s="975" t="s">
        <v>167</v>
      </c>
      <c r="L47" s="976"/>
      <c r="M47" s="496" t="s">
        <v>140</v>
      </c>
      <c r="N47" s="977">
        <v>26</v>
      </c>
      <c r="O47" s="961"/>
      <c r="P47" s="499">
        <v>26</v>
      </c>
      <c r="Q47" s="499">
        <v>29</v>
      </c>
    </row>
    <row r="48" spans="1:17" ht="12.75" customHeight="1">
      <c r="A48" s="491"/>
      <c r="B48" s="1009"/>
      <c r="C48" s="981"/>
      <c r="D48" s="982"/>
      <c r="E48" s="983"/>
      <c r="F48" s="993"/>
      <c r="G48" s="994"/>
      <c r="H48" s="994"/>
      <c r="I48" s="995"/>
      <c r="J48" s="863" t="s">
        <v>168</v>
      </c>
      <c r="K48" s="975" t="s">
        <v>169</v>
      </c>
      <c r="L48" s="976"/>
      <c r="M48" s="496" t="s">
        <v>140</v>
      </c>
      <c r="N48" s="977">
        <v>26</v>
      </c>
      <c r="O48" s="961"/>
      <c r="P48" s="499">
        <v>26</v>
      </c>
      <c r="Q48" s="499">
        <v>29</v>
      </c>
    </row>
    <row r="49" spans="1:17" ht="12.75" customHeight="1">
      <c r="A49" s="491"/>
      <c r="B49" s="1009"/>
      <c r="C49" s="981"/>
      <c r="D49" s="982"/>
      <c r="E49" s="983"/>
      <c r="F49" s="990"/>
      <c r="G49" s="991"/>
      <c r="H49" s="991"/>
      <c r="I49" s="992"/>
      <c r="J49" s="867" t="s">
        <v>141</v>
      </c>
      <c r="K49" s="958" t="s">
        <v>140</v>
      </c>
      <c r="L49" s="959"/>
      <c r="M49" s="500" t="s">
        <v>140</v>
      </c>
      <c r="N49" s="960" t="s">
        <v>140</v>
      </c>
      <c r="O49" s="961"/>
      <c r="P49" s="498" t="s">
        <v>140</v>
      </c>
      <c r="Q49" s="498" t="s">
        <v>140</v>
      </c>
    </row>
    <row r="50" spans="1:17" ht="12.75" customHeight="1">
      <c r="A50" s="491"/>
      <c r="B50" s="1009"/>
      <c r="C50" s="981"/>
      <c r="D50" s="982"/>
      <c r="E50" s="983"/>
      <c r="F50" s="987" t="s">
        <v>180</v>
      </c>
      <c r="G50" s="988"/>
      <c r="H50" s="988"/>
      <c r="I50" s="989"/>
      <c r="J50" s="863" t="s">
        <v>162</v>
      </c>
      <c r="K50" s="975" t="s">
        <v>163</v>
      </c>
      <c r="L50" s="976"/>
      <c r="M50" s="496" t="s">
        <v>140</v>
      </c>
      <c r="N50" s="977">
        <v>26</v>
      </c>
      <c r="O50" s="961"/>
      <c r="P50" s="499">
        <v>26</v>
      </c>
      <c r="Q50" s="499">
        <v>30</v>
      </c>
    </row>
    <row r="51" spans="1:17" ht="12.75" customHeight="1">
      <c r="A51" s="491"/>
      <c r="B51" s="1009"/>
      <c r="C51" s="981"/>
      <c r="D51" s="982"/>
      <c r="E51" s="983"/>
      <c r="F51" s="993"/>
      <c r="G51" s="994"/>
      <c r="H51" s="994"/>
      <c r="I51" s="995"/>
      <c r="J51" s="863" t="s">
        <v>164</v>
      </c>
      <c r="K51" s="975" t="s">
        <v>165</v>
      </c>
      <c r="L51" s="976"/>
      <c r="M51" s="496" t="s">
        <v>140</v>
      </c>
      <c r="N51" s="977">
        <v>26</v>
      </c>
      <c r="O51" s="961"/>
      <c r="P51" s="499">
        <v>26</v>
      </c>
      <c r="Q51" s="499">
        <v>30</v>
      </c>
    </row>
    <row r="52" spans="1:17" ht="12.75" customHeight="1">
      <c r="A52" s="491"/>
      <c r="B52" s="1009"/>
      <c r="C52" s="981"/>
      <c r="D52" s="982"/>
      <c r="E52" s="983"/>
      <c r="F52" s="990"/>
      <c r="G52" s="991"/>
      <c r="H52" s="991"/>
      <c r="I52" s="992"/>
      <c r="J52" s="867" t="s">
        <v>141</v>
      </c>
      <c r="K52" s="958" t="s">
        <v>140</v>
      </c>
      <c r="L52" s="959"/>
      <c r="M52" s="500" t="s">
        <v>140</v>
      </c>
      <c r="N52" s="960" t="s">
        <v>140</v>
      </c>
      <c r="O52" s="961"/>
      <c r="P52" s="498" t="s">
        <v>140</v>
      </c>
      <c r="Q52" s="498" t="s">
        <v>140</v>
      </c>
    </row>
    <row r="53" spans="1:17" ht="12.75" customHeight="1">
      <c r="A53" s="491"/>
      <c r="B53" s="1009"/>
      <c r="C53" s="981"/>
      <c r="D53" s="982"/>
      <c r="E53" s="983"/>
      <c r="F53" s="987" t="s">
        <v>181</v>
      </c>
      <c r="G53" s="988"/>
      <c r="H53" s="988"/>
      <c r="I53" s="989"/>
      <c r="J53" s="863" t="s">
        <v>182</v>
      </c>
      <c r="K53" s="975" t="s">
        <v>183</v>
      </c>
      <c r="L53" s="976"/>
      <c r="M53" s="496" t="s">
        <v>140</v>
      </c>
      <c r="N53" s="977">
        <v>0</v>
      </c>
      <c r="O53" s="961"/>
      <c r="P53" s="499">
        <v>0</v>
      </c>
      <c r="Q53" s="498" t="s">
        <v>140</v>
      </c>
    </row>
    <row r="54" spans="1:17" ht="12.75" customHeight="1">
      <c r="A54" s="491"/>
      <c r="B54" s="1009"/>
      <c r="C54" s="981"/>
      <c r="D54" s="982"/>
      <c r="E54" s="983"/>
      <c r="F54" s="990"/>
      <c r="G54" s="991"/>
      <c r="H54" s="991"/>
      <c r="I54" s="992"/>
      <c r="J54" s="867" t="s">
        <v>141</v>
      </c>
      <c r="K54" s="958" t="s">
        <v>140</v>
      </c>
      <c r="L54" s="959"/>
      <c r="M54" s="500" t="s">
        <v>140</v>
      </c>
      <c r="N54" s="960" t="s">
        <v>140</v>
      </c>
      <c r="O54" s="961"/>
      <c r="P54" s="498" t="s">
        <v>140</v>
      </c>
      <c r="Q54" s="498" t="s">
        <v>140</v>
      </c>
    </row>
    <row r="55" spans="1:17" ht="12.75" customHeight="1">
      <c r="A55" s="491"/>
      <c r="B55" s="1009"/>
      <c r="C55" s="981"/>
      <c r="D55" s="982"/>
      <c r="E55" s="983"/>
      <c r="F55" s="987" t="s">
        <v>184</v>
      </c>
      <c r="G55" s="988"/>
      <c r="H55" s="988"/>
      <c r="I55" s="989"/>
      <c r="J55" s="863" t="s">
        <v>162</v>
      </c>
      <c r="K55" s="975" t="s">
        <v>163</v>
      </c>
      <c r="L55" s="976"/>
      <c r="M55" s="496" t="s">
        <v>140</v>
      </c>
      <c r="N55" s="977">
        <v>27.3</v>
      </c>
      <c r="O55" s="961"/>
      <c r="P55" s="499">
        <v>27.3</v>
      </c>
      <c r="Q55" s="499">
        <v>32</v>
      </c>
    </row>
    <row r="56" spans="1:17" ht="12.75" customHeight="1">
      <c r="A56" s="491"/>
      <c r="B56" s="1009"/>
      <c r="C56" s="981"/>
      <c r="D56" s="982"/>
      <c r="E56" s="983"/>
      <c r="F56" s="993"/>
      <c r="G56" s="994"/>
      <c r="H56" s="994"/>
      <c r="I56" s="995"/>
      <c r="J56" s="863" t="s">
        <v>185</v>
      </c>
      <c r="K56" s="975" t="s">
        <v>186</v>
      </c>
      <c r="L56" s="976"/>
      <c r="M56" s="496" t="s">
        <v>140</v>
      </c>
      <c r="N56" s="977">
        <v>49.5</v>
      </c>
      <c r="O56" s="961"/>
      <c r="P56" s="499">
        <v>49.5</v>
      </c>
      <c r="Q56" s="499">
        <v>55</v>
      </c>
    </row>
    <row r="57" spans="1:17" ht="12.75" customHeight="1">
      <c r="A57" s="491"/>
      <c r="B57" s="1009"/>
      <c r="C57" s="981"/>
      <c r="D57" s="982"/>
      <c r="E57" s="983"/>
      <c r="F57" s="993"/>
      <c r="G57" s="994"/>
      <c r="H57" s="994"/>
      <c r="I57" s="995"/>
      <c r="J57" s="863" t="s">
        <v>164</v>
      </c>
      <c r="K57" s="975" t="s">
        <v>165</v>
      </c>
      <c r="L57" s="976"/>
      <c r="M57" s="496" t="s">
        <v>140</v>
      </c>
      <c r="N57" s="977">
        <v>27.3</v>
      </c>
      <c r="O57" s="961"/>
      <c r="P57" s="499">
        <v>27.3</v>
      </c>
      <c r="Q57" s="499">
        <v>32</v>
      </c>
    </row>
    <row r="58" spans="1:17" ht="12.75" customHeight="1">
      <c r="A58" s="491"/>
      <c r="B58" s="1009"/>
      <c r="C58" s="981"/>
      <c r="D58" s="982"/>
      <c r="E58" s="983"/>
      <c r="F58" s="993"/>
      <c r="G58" s="994"/>
      <c r="H58" s="994"/>
      <c r="I58" s="995"/>
      <c r="J58" s="863" t="s">
        <v>166</v>
      </c>
      <c r="K58" s="975" t="s">
        <v>167</v>
      </c>
      <c r="L58" s="976"/>
      <c r="M58" s="496" t="s">
        <v>140</v>
      </c>
      <c r="N58" s="977">
        <v>29.7</v>
      </c>
      <c r="O58" s="961"/>
      <c r="P58" s="499">
        <v>29.7</v>
      </c>
      <c r="Q58" s="499">
        <v>33</v>
      </c>
    </row>
    <row r="59" spans="1:17" ht="12.75" customHeight="1">
      <c r="A59" s="491"/>
      <c r="B59" s="1009"/>
      <c r="C59" s="981"/>
      <c r="D59" s="982"/>
      <c r="E59" s="983"/>
      <c r="F59" s="993"/>
      <c r="G59" s="994"/>
      <c r="H59" s="994"/>
      <c r="I59" s="995"/>
      <c r="J59" s="863" t="s">
        <v>168</v>
      </c>
      <c r="K59" s="975" t="s">
        <v>169</v>
      </c>
      <c r="L59" s="976"/>
      <c r="M59" s="496" t="s">
        <v>140</v>
      </c>
      <c r="N59" s="977">
        <v>29.7</v>
      </c>
      <c r="O59" s="961"/>
      <c r="P59" s="499">
        <v>29.7</v>
      </c>
      <c r="Q59" s="499">
        <v>33</v>
      </c>
    </row>
    <row r="60" spans="1:17" ht="12.75" customHeight="1">
      <c r="A60" s="491"/>
      <c r="B60" s="1009"/>
      <c r="C60" s="981"/>
      <c r="D60" s="982"/>
      <c r="E60" s="983"/>
      <c r="F60" s="990"/>
      <c r="G60" s="991"/>
      <c r="H60" s="991"/>
      <c r="I60" s="992"/>
      <c r="J60" s="867" t="s">
        <v>141</v>
      </c>
      <c r="K60" s="958" t="s">
        <v>140</v>
      </c>
      <c r="L60" s="959"/>
      <c r="M60" s="500" t="s">
        <v>140</v>
      </c>
      <c r="N60" s="960" t="s">
        <v>140</v>
      </c>
      <c r="O60" s="961"/>
      <c r="P60" s="498" t="s">
        <v>140</v>
      </c>
      <c r="Q60" s="498" t="s">
        <v>140</v>
      </c>
    </row>
    <row r="61" spans="1:17" ht="12.75" customHeight="1">
      <c r="A61" s="491"/>
      <c r="B61" s="1009"/>
      <c r="C61" s="981"/>
      <c r="D61" s="982"/>
      <c r="E61" s="983"/>
      <c r="F61" s="987" t="s">
        <v>187</v>
      </c>
      <c r="G61" s="988"/>
      <c r="H61" s="988"/>
      <c r="I61" s="989"/>
      <c r="J61" s="863" t="s">
        <v>188</v>
      </c>
      <c r="K61" s="975" t="s">
        <v>189</v>
      </c>
      <c r="L61" s="976"/>
      <c r="M61" s="496" t="s">
        <v>140</v>
      </c>
      <c r="N61" s="977">
        <v>7.66</v>
      </c>
      <c r="O61" s="961"/>
      <c r="P61" s="499">
        <v>7.66</v>
      </c>
      <c r="Q61" s="499">
        <v>7.66</v>
      </c>
    </row>
    <row r="62" spans="1:17" ht="12.75" customHeight="1">
      <c r="A62" s="491"/>
      <c r="B62" s="1009"/>
      <c r="C62" s="981"/>
      <c r="D62" s="982"/>
      <c r="E62" s="983"/>
      <c r="F62" s="993"/>
      <c r="G62" s="994"/>
      <c r="H62" s="994"/>
      <c r="I62" s="995"/>
      <c r="J62" s="863" t="s">
        <v>190</v>
      </c>
      <c r="K62" s="975" t="s">
        <v>191</v>
      </c>
      <c r="L62" s="976"/>
      <c r="M62" s="496" t="s">
        <v>140</v>
      </c>
      <c r="N62" s="977">
        <v>7.66</v>
      </c>
      <c r="O62" s="961"/>
      <c r="P62" s="499">
        <v>7.66</v>
      </c>
      <c r="Q62" s="499">
        <v>7.66</v>
      </c>
    </row>
    <row r="63" spans="1:17" ht="12.75" customHeight="1">
      <c r="A63" s="491"/>
      <c r="B63" s="1009"/>
      <c r="C63" s="981"/>
      <c r="D63" s="982"/>
      <c r="E63" s="983"/>
      <c r="F63" s="993"/>
      <c r="G63" s="994"/>
      <c r="H63" s="994"/>
      <c r="I63" s="995"/>
      <c r="J63" s="863" t="s">
        <v>192</v>
      </c>
      <c r="K63" s="975" t="s">
        <v>193</v>
      </c>
      <c r="L63" s="976"/>
      <c r="M63" s="496" t="s">
        <v>140</v>
      </c>
      <c r="N63" s="977">
        <v>7.77</v>
      </c>
      <c r="O63" s="961"/>
      <c r="P63" s="499">
        <v>7.77</v>
      </c>
      <c r="Q63" s="499">
        <v>7.77</v>
      </c>
    </row>
    <row r="64" spans="1:17" ht="12.75" customHeight="1">
      <c r="A64" s="491"/>
      <c r="B64" s="1009"/>
      <c r="C64" s="981"/>
      <c r="D64" s="982"/>
      <c r="E64" s="983"/>
      <c r="F64" s="993"/>
      <c r="G64" s="994"/>
      <c r="H64" s="994"/>
      <c r="I64" s="995"/>
      <c r="J64" s="863" t="s">
        <v>194</v>
      </c>
      <c r="K64" s="975" t="s">
        <v>195</v>
      </c>
      <c r="L64" s="976"/>
      <c r="M64" s="496" t="s">
        <v>140</v>
      </c>
      <c r="N64" s="977">
        <v>7.77</v>
      </c>
      <c r="O64" s="961"/>
      <c r="P64" s="499">
        <v>7.77</v>
      </c>
      <c r="Q64" s="499">
        <v>7.77</v>
      </c>
    </row>
    <row r="65" spans="1:17" ht="12.75" customHeight="1">
      <c r="A65" s="491"/>
      <c r="B65" s="1009"/>
      <c r="C65" s="981"/>
      <c r="D65" s="982"/>
      <c r="E65" s="983"/>
      <c r="F65" s="990"/>
      <c r="G65" s="991"/>
      <c r="H65" s="991"/>
      <c r="I65" s="992"/>
      <c r="J65" s="867" t="s">
        <v>141</v>
      </c>
      <c r="K65" s="958" t="s">
        <v>140</v>
      </c>
      <c r="L65" s="959"/>
      <c r="M65" s="500" t="s">
        <v>140</v>
      </c>
      <c r="N65" s="960" t="s">
        <v>140</v>
      </c>
      <c r="O65" s="961"/>
      <c r="P65" s="498" t="s">
        <v>140</v>
      </c>
      <c r="Q65" s="498" t="s">
        <v>140</v>
      </c>
    </row>
    <row r="66" spans="1:17" ht="12.75" customHeight="1">
      <c r="A66" s="491"/>
      <c r="B66" s="1009"/>
      <c r="C66" s="981"/>
      <c r="D66" s="982"/>
      <c r="E66" s="983"/>
      <c r="F66" s="987" t="s">
        <v>196</v>
      </c>
      <c r="G66" s="988"/>
      <c r="H66" s="988"/>
      <c r="I66" s="989"/>
      <c r="J66" s="863" t="s">
        <v>197</v>
      </c>
      <c r="K66" s="975" t="s">
        <v>198</v>
      </c>
      <c r="L66" s="976"/>
      <c r="M66" s="496" t="s">
        <v>140</v>
      </c>
      <c r="N66" s="977">
        <v>30.45</v>
      </c>
      <c r="O66" s="961"/>
      <c r="P66" s="499">
        <v>30.45</v>
      </c>
      <c r="Q66" s="499">
        <v>30.45</v>
      </c>
    </row>
    <row r="67" spans="1:17" ht="12.75" customHeight="1">
      <c r="A67" s="491"/>
      <c r="B67" s="1009"/>
      <c r="C67" s="981"/>
      <c r="D67" s="982"/>
      <c r="E67" s="983"/>
      <c r="F67" s="990"/>
      <c r="G67" s="991"/>
      <c r="H67" s="991"/>
      <c r="I67" s="992"/>
      <c r="J67" s="867" t="s">
        <v>141</v>
      </c>
      <c r="K67" s="958" t="s">
        <v>140</v>
      </c>
      <c r="L67" s="959"/>
      <c r="M67" s="500" t="s">
        <v>140</v>
      </c>
      <c r="N67" s="960" t="s">
        <v>140</v>
      </c>
      <c r="O67" s="961"/>
      <c r="P67" s="498" t="s">
        <v>140</v>
      </c>
      <c r="Q67" s="498" t="s">
        <v>140</v>
      </c>
    </row>
    <row r="68" spans="1:17" ht="12.75" customHeight="1">
      <c r="A68" s="491"/>
      <c r="B68" s="1009"/>
      <c r="C68" s="981"/>
      <c r="D68" s="982"/>
      <c r="E68" s="983"/>
      <c r="F68" s="987" t="s">
        <v>199</v>
      </c>
      <c r="G68" s="988"/>
      <c r="H68" s="988"/>
      <c r="I68" s="989"/>
      <c r="J68" s="863" t="s">
        <v>162</v>
      </c>
      <c r="K68" s="975" t="s">
        <v>163</v>
      </c>
      <c r="L68" s="976"/>
      <c r="M68" s="496" t="s">
        <v>140</v>
      </c>
      <c r="N68" s="977">
        <v>27.3</v>
      </c>
      <c r="O68" s="961"/>
      <c r="P68" s="499">
        <v>27.3</v>
      </c>
      <c r="Q68" s="499">
        <v>34</v>
      </c>
    </row>
    <row r="69" spans="1:17" ht="12.75" customHeight="1">
      <c r="A69" s="491"/>
      <c r="B69" s="1009"/>
      <c r="C69" s="981"/>
      <c r="D69" s="982"/>
      <c r="E69" s="983"/>
      <c r="F69" s="993"/>
      <c r="G69" s="994"/>
      <c r="H69" s="994"/>
      <c r="I69" s="995"/>
      <c r="J69" s="863" t="s">
        <v>164</v>
      </c>
      <c r="K69" s="975" t="s">
        <v>165</v>
      </c>
      <c r="L69" s="976"/>
      <c r="M69" s="496" t="s">
        <v>140</v>
      </c>
      <c r="N69" s="977">
        <v>27.3</v>
      </c>
      <c r="O69" s="961"/>
      <c r="P69" s="499">
        <v>27.3</v>
      </c>
      <c r="Q69" s="499">
        <v>34</v>
      </c>
    </row>
    <row r="70" spans="1:17" ht="12.75" customHeight="1">
      <c r="A70" s="491"/>
      <c r="B70" s="1009"/>
      <c r="C70" s="981"/>
      <c r="D70" s="982"/>
      <c r="E70" s="983"/>
      <c r="F70" s="993"/>
      <c r="G70" s="994"/>
      <c r="H70" s="994"/>
      <c r="I70" s="995"/>
      <c r="J70" s="863" t="s">
        <v>166</v>
      </c>
      <c r="K70" s="975" t="s">
        <v>167</v>
      </c>
      <c r="L70" s="976"/>
      <c r="M70" s="496" t="s">
        <v>140</v>
      </c>
      <c r="N70" s="977">
        <v>29.92</v>
      </c>
      <c r="O70" s="961"/>
      <c r="P70" s="499">
        <v>29.92</v>
      </c>
      <c r="Q70" s="499">
        <v>34</v>
      </c>
    </row>
    <row r="71" spans="1:17" ht="12.75" customHeight="1">
      <c r="A71" s="491"/>
      <c r="B71" s="1009"/>
      <c r="C71" s="981"/>
      <c r="D71" s="982"/>
      <c r="E71" s="983"/>
      <c r="F71" s="993"/>
      <c r="G71" s="994"/>
      <c r="H71" s="994"/>
      <c r="I71" s="995"/>
      <c r="J71" s="863" t="s">
        <v>168</v>
      </c>
      <c r="K71" s="975" t="s">
        <v>169</v>
      </c>
      <c r="L71" s="976"/>
      <c r="M71" s="496" t="s">
        <v>140</v>
      </c>
      <c r="N71" s="977">
        <v>29.92</v>
      </c>
      <c r="O71" s="961"/>
      <c r="P71" s="499">
        <v>29.92</v>
      </c>
      <c r="Q71" s="499">
        <v>38</v>
      </c>
    </row>
    <row r="72" spans="1:17" ht="12.75" customHeight="1">
      <c r="A72" s="491"/>
      <c r="B72" s="1009"/>
      <c r="C72" s="981"/>
      <c r="D72" s="982"/>
      <c r="E72" s="983"/>
      <c r="F72" s="990"/>
      <c r="G72" s="991"/>
      <c r="H72" s="991"/>
      <c r="I72" s="992"/>
      <c r="J72" s="867" t="s">
        <v>141</v>
      </c>
      <c r="K72" s="958" t="s">
        <v>140</v>
      </c>
      <c r="L72" s="959"/>
      <c r="M72" s="500" t="s">
        <v>140</v>
      </c>
      <c r="N72" s="960" t="s">
        <v>140</v>
      </c>
      <c r="O72" s="961"/>
      <c r="P72" s="498" t="s">
        <v>140</v>
      </c>
      <c r="Q72" s="498" t="s">
        <v>140</v>
      </c>
    </row>
    <row r="73" spans="1:17" ht="12.75" customHeight="1">
      <c r="A73" s="491"/>
      <c r="B73" s="1009"/>
      <c r="C73" s="981"/>
      <c r="D73" s="982"/>
      <c r="E73" s="983"/>
      <c r="F73" s="987" t="s">
        <v>200</v>
      </c>
      <c r="G73" s="988"/>
      <c r="H73" s="988"/>
      <c r="I73" s="989"/>
      <c r="J73" s="863" t="s">
        <v>158</v>
      </c>
      <c r="K73" s="975" t="s">
        <v>159</v>
      </c>
      <c r="L73" s="976"/>
      <c r="M73" s="496" t="s">
        <v>140</v>
      </c>
      <c r="N73" s="977">
        <v>86.1</v>
      </c>
      <c r="O73" s="961"/>
      <c r="P73" s="499">
        <v>86.1</v>
      </c>
      <c r="Q73" s="499">
        <v>150</v>
      </c>
    </row>
    <row r="74" spans="1:17" ht="12.75" customHeight="1">
      <c r="A74" s="491"/>
      <c r="B74" s="1009"/>
      <c r="C74" s="981"/>
      <c r="D74" s="982"/>
      <c r="E74" s="983"/>
      <c r="F74" s="990"/>
      <c r="G74" s="991"/>
      <c r="H74" s="991"/>
      <c r="I74" s="992"/>
      <c r="J74" s="867" t="s">
        <v>141</v>
      </c>
      <c r="K74" s="958" t="s">
        <v>140</v>
      </c>
      <c r="L74" s="959"/>
      <c r="M74" s="500" t="s">
        <v>140</v>
      </c>
      <c r="N74" s="960" t="s">
        <v>140</v>
      </c>
      <c r="O74" s="961"/>
      <c r="P74" s="498" t="s">
        <v>140</v>
      </c>
      <c r="Q74" s="498" t="s">
        <v>140</v>
      </c>
    </row>
    <row r="75" spans="1:17" ht="12.75" customHeight="1">
      <c r="A75" s="491"/>
      <c r="B75" s="1009"/>
      <c r="C75" s="981"/>
      <c r="D75" s="982"/>
      <c r="E75" s="983"/>
      <c r="F75" s="987" t="s">
        <v>201</v>
      </c>
      <c r="G75" s="988"/>
      <c r="H75" s="988"/>
      <c r="I75" s="989"/>
      <c r="J75" s="863" t="s">
        <v>162</v>
      </c>
      <c r="K75" s="975" t="s">
        <v>163</v>
      </c>
      <c r="L75" s="976"/>
      <c r="M75" s="496" t="s">
        <v>140</v>
      </c>
      <c r="N75" s="977">
        <v>27.3</v>
      </c>
      <c r="O75" s="961"/>
      <c r="P75" s="499">
        <v>27.3</v>
      </c>
      <c r="Q75" s="499">
        <v>36.9</v>
      </c>
    </row>
    <row r="76" spans="1:17" ht="12.75" customHeight="1">
      <c r="A76" s="491"/>
      <c r="B76" s="1009"/>
      <c r="C76" s="981"/>
      <c r="D76" s="982"/>
      <c r="E76" s="983"/>
      <c r="F76" s="993"/>
      <c r="G76" s="994"/>
      <c r="H76" s="994"/>
      <c r="I76" s="995"/>
      <c r="J76" s="863" t="s">
        <v>164</v>
      </c>
      <c r="K76" s="975" t="s">
        <v>165</v>
      </c>
      <c r="L76" s="976"/>
      <c r="M76" s="496" t="s">
        <v>140</v>
      </c>
      <c r="N76" s="977">
        <v>27.3</v>
      </c>
      <c r="O76" s="961"/>
      <c r="P76" s="499">
        <v>27.3</v>
      </c>
      <c r="Q76" s="499">
        <v>36.9</v>
      </c>
    </row>
    <row r="77" spans="1:17" ht="12.75" customHeight="1">
      <c r="A77" s="491"/>
      <c r="B77" s="1009"/>
      <c r="C77" s="981"/>
      <c r="D77" s="982"/>
      <c r="E77" s="983"/>
      <c r="F77" s="993"/>
      <c r="G77" s="994"/>
      <c r="H77" s="994"/>
      <c r="I77" s="995"/>
      <c r="J77" s="863" t="s">
        <v>178</v>
      </c>
      <c r="K77" s="975" t="s">
        <v>179</v>
      </c>
      <c r="L77" s="976"/>
      <c r="M77" s="496" t="s">
        <v>140</v>
      </c>
      <c r="N77" s="977">
        <v>62.47</v>
      </c>
      <c r="O77" s="961"/>
      <c r="P77" s="499">
        <v>62.47</v>
      </c>
      <c r="Q77" s="499">
        <v>169</v>
      </c>
    </row>
    <row r="78" spans="1:17" ht="12.75" customHeight="1">
      <c r="A78" s="491"/>
      <c r="B78" s="1009"/>
      <c r="C78" s="981"/>
      <c r="D78" s="982"/>
      <c r="E78" s="983"/>
      <c r="F78" s="993"/>
      <c r="G78" s="994"/>
      <c r="H78" s="994"/>
      <c r="I78" s="995"/>
      <c r="J78" s="863" t="s">
        <v>166</v>
      </c>
      <c r="K78" s="975" t="s">
        <v>167</v>
      </c>
      <c r="L78" s="976"/>
      <c r="M78" s="496" t="s">
        <v>140</v>
      </c>
      <c r="N78" s="977">
        <v>29.92</v>
      </c>
      <c r="O78" s="961"/>
      <c r="P78" s="499">
        <v>29.92</v>
      </c>
      <c r="Q78" s="499">
        <v>36.9</v>
      </c>
    </row>
    <row r="79" spans="1:17" ht="12.75" customHeight="1">
      <c r="A79" s="491"/>
      <c r="B79" s="1009"/>
      <c r="C79" s="981"/>
      <c r="D79" s="982"/>
      <c r="E79" s="983"/>
      <c r="F79" s="993"/>
      <c r="G79" s="994"/>
      <c r="H79" s="994"/>
      <c r="I79" s="995"/>
      <c r="J79" s="863" t="s">
        <v>168</v>
      </c>
      <c r="K79" s="975" t="s">
        <v>169</v>
      </c>
      <c r="L79" s="976"/>
      <c r="M79" s="496" t="s">
        <v>140</v>
      </c>
      <c r="N79" s="977">
        <v>29.92</v>
      </c>
      <c r="O79" s="961"/>
      <c r="P79" s="499">
        <v>29.92</v>
      </c>
      <c r="Q79" s="499">
        <v>36.9</v>
      </c>
    </row>
    <row r="80" spans="1:17" ht="12.75" customHeight="1">
      <c r="A80" s="491"/>
      <c r="B80" s="1009"/>
      <c r="C80" s="981"/>
      <c r="D80" s="982"/>
      <c r="E80" s="983"/>
      <c r="F80" s="990"/>
      <c r="G80" s="991"/>
      <c r="H80" s="991"/>
      <c r="I80" s="992"/>
      <c r="J80" s="867" t="s">
        <v>141</v>
      </c>
      <c r="K80" s="958" t="s">
        <v>140</v>
      </c>
      <c r="L80" s="959"/>
      <c r="M80" s="500" t="s">
        <v>140</v>
      </c>
      <c r="N80" s="960" t="s">
        <v>140</v>
      </c>
      <c r="O80" s="961"/>
      <c r="P80" s="498" t="s">
        <v>140</v>
      </c>
      <c r="Q80" s="498" t="s">
        <v>140</v>
      </c>
    </row>
    <row r="81" spans="1:17" ht="12.75" customHeight="1">
      <c r="A81" s="491"/>
      <c r="B81" s="1009"/>
      <c r="C81" s="981"/>
      <c r="D81" s="982"/>
      <c r="E81" s="983"/>
      <c r="F81" s="987" t="s">
        <v>202</v>
      </c>
      <c r="G81" s="988"/>
      <c r="H81" s="988"/>
      <c r="I81" s="989"/>
      <c r="J81" s="863" t="s">
        <v>162</v>
      </c>
      <c r="K81" s="975" t="s">
        <v>163</v>
      </c>
      <c r="L81" s="976"/>
      <c r="M81" s="496" t="s">
        <v>140</v>
      </c>
      <c r="N81" s="977">
        <v>27.3</v>
      </c>
      <c r="O81" s="961"/>
      <c r="P81" s="499">
        <v>27.3</v>
      </c>
      <c r="Q81" s="499">
        <v>37</v>
      </c>
    </row>
    <row r="82" spans="1:17" ht="12.75" customHeight="1">
      <c r="A82" s="491"/>
      <c r="B82" s="1009"/>
      <c r="C82" s="981"/>
      <c r="D82" s="982"/>
      <c r="E82" s="983"/>
      <c r="F82" s="993"/>
      <c r="G82" s="994"/>
      <c r="H82" s="994"/>
      <c r="I82" s="995"/>
      <c r="J82" s="863" t="s">
        <v>164</v>
      </c>
      <c r="K82" s="975" t="s">
        <v>165</v>
      </c>
      <c r="L82" s="976"/>
      <c r="M82" s="496" t="s">
        <v>140</v>
      </c>
      <c r="N82" s="977">
        <v>27.3</v>
      </c>
      <c r="O82" s="961"/>
      <c r="P82" s="499">
        <v>27.3</v>
      </c>
      <c r="Q82" s="499">
        <v>37</v>
      </c>
    </row>
    <row r="83" spans="1:17" ht="12.75" customHeight="1">
      <c r="A83" s="491"/>
      <c r="B83" s="1009"/>
      <c r="C83" s="981"/>
      <c r="D83" s="982"/>
      <c r="E83" s="983"/>
      <c r="F83" s="993"/>
      <c r="G83" s="994"/>
      <c r="H83" s="994"/>
      <c r="I83" s="995"/>
      <c r="J83" s="863" t="s">
        <v>166</v>
      </c>
      <c r="K83" s="975" t="s">
        <v>167</v>
      </c>
      <c r="L83" s="976"/>
      <c r="M83" s="496" t="s">
        <v>140</v>
      </c>
      <c r="N83" s="977">
        <v>29.92</v>
      </c>
      <c r="O83" s="961"/>
      <c r="P83" s="499">
        <v>29.92</v>
      </c>
      <c r="Q83" s="499">
        <v>37</v>
      </c>
    </row>
    <row r="84" spans="1:17" ht="12.75" customHeight="1">
      <c r="A84" s="491"/>
      <c r="B84" s="1009"/>
      <c r="C84" s="981"/>
      <c r="D84" s="982"/>
      <c r="E84" s="983"/>
      <c r="F84" s="993"/>
      <c r="G84" s="994"/>
      <c r="H84" s="994"/>
      <c r="I84" s="995"/>
      <c r="J84" s="863" t="s">
        <v>168</v>
      </c>
      <c r="K84" s="975" t="s">
        <v>169</v>
      </c>
      <c r="L84" s="976"/>
      <c r="M84" s="496" t="s">
        <v>140</v>
      </c>
      <c r="N84" s="977">
        <v>29.92</v>
      </c>
      <c r="O84" s="961"/>
      <c r="P84" s="499">
        <v>29.92</v>
      </c>
      <c r="Q84" s="499">
        <v>37</v>
      </c>
    </row>
    <row r="85" spans="1:17" ht="12.75" customHeight="1">
      <c r="A85" s="491"/>
      <c r="B85" s="1009"/>
      <c r="C85" s="981"/>
      <c r="D85" s="982"/>
      <c r="E85" s="983"/>
      <c r="F85" s="990"/>
      <c r="G85" s="991"/>
      <c r="H85" s="991"/>
      <c r="I85" s="992"/>
      <c r="J85" s="867" t="s">
        <v>141</v>
      </c>
      <c r="K85" s="958" t="s">
        <v>140</v>
      </c>
      <c r="L85" s="959"/>
      <c r="M85" s="500" t="s">
        <v>140</v>
      </c>
      <c r="N85" s="960" t="s">
        <v>140</v>
      </c>
      <c r="O85" s="961"/>
      <c r="P85" s="498" t="s">
        <v>140</v>
      </c>
      <c r="Q85" s="498" t="s">
        <v>140</v>
      </c>
    </row>
    <row r="86" spans="1:17" ht="12.75" customHeight="1">
      <c r="A86" s="491"/>
      <c r="B86" s="1009"/>
      <c r="C86" s="981"/>
      <c r="D86" s="982"/>
      <c r="E86" s="983"/>
      <c r="F86" s="987" t="s">
        <v>203</v>
      </c>
      <c r="G86" s="988"/>
      <c r="H86" s="988"/>
      <c r="I86" s="989"/>
      <c r="J86" s="863" t="s">
        <v>162</v>
      </c>
      <c r="K86" s="975" t="s">
        <v>163</v>
      </c>
      <c r="L86" s="976"/>
      <c r="M86" s="496" t="s">
        <v>140</v>
      </c>
      <c r="N86" s="977">
        <v>27.3</v>
      </c>
      <c r="O86" s="961"/>
      <c r="P86" s="499">
        <v>27.3</v>
      </c>
      <c r="Q86" s="499">
        <v>33.5</v>
      </c>
    </row>
    <row r="87" spans="1:17" ht="12.75" customHeight="1">
      <c r="A87" s="491"/>
      <c r="B87" s="1009"/>
      <c r="C87" s="981"/>
      <c r="D87" s="982"/>
      <c r="E87" s="983"/>
      <c r="F87" s="993"/>
      <c r="G87" s="994"/>
      <c r="H87" s="994"/>
      <c r="I87" s="995"/>
      <c r="J87" s="863" t="s">
        <v>164</v>
      </c>
      <c r="K87" s="975" t="s">
        <v>165</v>
      </c>
      <c r="L87" s="976"/>
      <c r="M87" s="496" t="s">
        <v>140</v>
      </c>
      <c r="N87" s="977">
        <v>27.3</v>
      </c>
      <c r="O87" s="961"/>
      <c r="P87" s="499">
        <v>27.3</v>
      </c>
      <c r="Q87" s="499">
        <v>33.5</v>
      </c>
    </row>
    <row r="88" spans="1:17" ht="12.75" customHeight="1">
      <c r="A88" s="491"/>
      <c r="B88" s="1009"/>
      <c r="C88" s="981"/>
      <c r="D88" s="982"/>
      <c r="E88" s="983"/>
      <c r="F88" s="993"/>
      <c r="G88" s="994"/>
      <c r="H88" s="994"/>
      <c r="I88" s="995"/>
      <c r="J88" s="863" t="s">
        <v>166</v>
      </c>
      <c r="K88" s="975" t="s">
        <v>167</v>
      </c>
      <c r="L88" s="976"/>
      <c r="M88" s="496" t="s">
        <v>140</v>
      </c>
      <c r="N88" s="977">
        <v>29.92</v>
      </c>
      <c r="O88" s="961"/>
      <c r="P88" s="499">
        <v>29.92</v>
      </c>
      <c r="Q88" s="499">
        <v>33.5</v>
      </c>
    </row>
    <row r="89" spans="1:17" ht="12.75" customHeight="1">
      <c r="A89" s="491"/>
      <c r="B89" s="1009"/>
      <c r="C89" s="981"/>
      <c r="D89" s="982"/>
      <c r="E89" s="983"/>
      <c r="F89" s="993"/>
      <c r="G89" s="994"/>
      <c r="H89" s="994"/>
      <c r="I89" s="995"/>
      <c r="J89" s="863" t="s">
        <v>168</v>
      </c>
      <c r="K89" s="975" t="s">
        <v>169</v>
      </c>
      <c r="L89" s="976"/>
      <c r="M89" s="496" t="s">
        <v>140</v>
      </c>
      <c r="N89" s="977">
        <v>29.92</v>
      </c>
      <c r="O89" s="961"/>
      <c r="P89" s="499">
        <v>29.92</v>
      </c>
      <c r="Q89" s="499">
        <v>33.5</v>
      </c>
    </row>
    <row r="90" spans="1:17" ht="12.75" customHeight="1">
      <c r="A90" s="491"/>
      <c r="B90" s="1009"/>
      <c r="C90" s="981"/>
      <c r="D90" s="982"/>
      <c r="E90" s="983"/>
      <c r="F90" s="990"/>
      <c r="G90" s="991"/>
      <c r="H90" s="991"/>
      <c r="I90" s="992"/>
      <c r="J90" s="867" t="s">
        <v>141</v>
      </c>
      <c r="K90" s="958" t="s">
        <v>140</v>
      </c>
      <c r="L90" s="959"/>
      <c r="M90" s="500" t="s">
        <v>140</v>
      </c>
      <c r="N90" s="960" t="s">
        <v>140</v>
      </c>
      <c r="O90" s="961"/>
      <c r="P90" s="498" t="s">
        <v>140</v>
      </c>
      <c r="Q90" s="498" t="s">
        <v>140</v>
      </c>
    </row>
    <row r="91" spans="1:17" ht="12.75" customHeight="1">
      <c r="A91" s="491"/>
      <c r="B91" s="1009"/>
      <c r="C91" s="981"/>
      <c r="D91" s="982"/>
      <c r="E91" s="983"/>
      <c r="F91" s="987" t="s">
        <v>204</v>
      </c>
      <c r="G91" s="988"/>
      <c r="H91" s="988"/>
      <c r="I91" s="989"/>
      <c r="J91" s="863" t="s">
        <v>162</v>
      </c>
      <c r="K91" s="975" t="s">
        <v>163</v>
      </c>
      <c r="L91" s="976"/>
      <c r="M91" s="496" t="s">
        <v>140</v>
      </c>
      <c r="N91" s="977">
        <v>27.3</v>
      </c>
      <c r="O91" s="961"/>
      <c r="P91" s="499">
        <v>27.3</v>
      </c>
      <c r="Q91" s="499">
        <v>31.5</v>
      </c>
    </row>
    <row r="92" spans="1:17" ht="12.75" customHeight="1">
      <c r="A92" s="491"/>
      <c r="B92" s="1009"/>
      <c r="C92" s="981"/>
      <c r="D92" s="982"/>
      <c r="E92" s="983"/>
      <c r="F92" s="993"/>
      <c r="G92" s="994"/>
      <c r="H92" s="994"/>
      <c r="I92" s="995"/>
      <c r="J92" s="863" t="s">
        <v>164</v>
      </c>
      <c r="K92" s="975" t="s">
        <v>165</v>
      </c>
      <c r="L92" s="976"/>
      <c r="M92" s="496" t="s">
        <v>140</v>
      </c>
      <c r="N92" s="977">
        <v>27.3</v>
      </c>
      <c r="O92" s="961"/>
      <c r="P92" s="499">
        <v>27.3</v>
      </c>
      <c r="Q92" s="499">
        <v>31.5</v>
      </c>
    </row>
    <row r="93" spans="1:17" ht="12.75" customHeight="1">
      <c r="A93" s="491"/>
      <c r="B93" s="1009"/>
      <c r="C93" s="981"/>
      <c r="D93" s="982"/>
      <c r="E93" s="983"/>
      <c r="F93" s="990"/>
      <c r="G93" s="991"/>
      <c r="H93" s="991"/>
      <c r="I93" s="992"/>
      <c r="J93" s="867" t="s">
        <v>141</v>
      </c>
      <c r="K93" s="958" t="s">
        <v>140</v>
      </c>
      <c r="L93" s="959"/>
      <c r="M93" s="500" t="s">
        <v>140</v>
      </c>
      <c r="N93" s="960" t="s">
        <v>140</v>
      </c>
      <c r="O93" s="961"/>
      <c r="P93" s="498" t="s">
        <v>140</v>
      </c>
      <c r="Q93" s="498" t="s">
        <v>140</v>
      </c>
    </row>
    <row r="94" spans="1:17" ht="12.75" customHeight="1">
      <c r="A94" s="491"/>
      <c r="B94" s="1009"/>
      <c r="C94" s="981"/>
      <c r="D94" s="982"/>
      <c r="E94" s="983"/>
      <c r="F94" s="987" t="s">
        <v>205</v>
      </c>
      <c r="G94" s="988"/>
      <c r="H94" s="988"/>
      <c r="I94" s="989"/>
      <c r="J94" s="863" t="s">
        <v>206</v>
      </c>
      <c r="K94" s="975" t="s">
        <v>207</v>
      </c>
      <c r="L94" s="976"/>
      <c r="M94" s="496" t="s">
        <v>140</v>
      </c>
      <c r="N94" s="977">
        <v>134.63999999999999</v>
      </c>
      <c r="O94" s="961"/>
      <c r="P94" s="499">
        <v>134.63999999999999</v>
      </c>
      <c r="Q94" s="499">
        <v>150</v>
      </c>
    </row>
    <row r="95" spans="1:17" ht="12.75" customHeight="1">
      <c r="A95" s="491"/>
      <c r="B95" s="1009"/>
      <c r="C95" s="981"/>
      <c r="D95" s="982"/>
      <c r="E95" s="983"/>
      <c r="F95" s="993"/>
      <c r="G95" s="994"/>
      <c r="H95" s="994"/>
      <c r="I95" s="995"/>
      <c r="J95" s="863" t="s">
        <v>208</v>
      </c>
      <c r="K95" s="975" t="s">
        <v>209</v>
      </c>
      <c r="L95" s="976"/>
      <c r="M95" s="496" t="s">
        <v>140</v>
      </c>
      <c r="N95" s="977">
        <v>16.829999999999998</v>
      </c>
      <c r="O95" s="961"/>
      <c r="P95" s="499">
        <v>16.829999999999998</v>
      </c>
      <c r="Q95" s="499">
        <v>18.75</v>
      </c>
    </row>
    <row r="96" spans="1:17" ht="12.75" customHeight="1">
      <c r="A96" s="491"/>
      <c r="B96" s="1009"/>
      <c r="C96" s="981"/>
      <c r="D96" s="982"/>
      <c r="E96" s="983"/>
      <c r="F96" s="990"/>
      <c r="G96" s="991"/>
      <c r="H96" s="991"/>
      <c r="I96" s="992"/>
      <c r="J96" s="867" t="s">
        <v>141</v>
      </c>
      <c r="K96" s="958" t="s">
        <v>140</v>
      </c>
      <c r="L96" s="959"/>
      <c r="M96" s="500" t="s">
        <v>140</v>
      </c>
      <c r="N96" s="960" t="s">
        <v>140</v>
      </c>
      <c r="O96" s="961"/>
      <c r="P96" s="498" t="s">
        <v>140</v>
      </c>
      <c r="Q96" s="498" t="s">
        <v>140</v>
      </c>
    </row>
    <row r="97" spans="1:17" ht="12.75" customHeight="1">
      <c r="A97" s="491"/>
      <c r="B97" s="1009"/>
      <c r="C97" s="981"/>
      <c r="D97" s="982"/>
      <c r="E97" s="983"/>
      <c r="F97" s="987" t="s">
        <v>210</v>
      </c>
      <c r="G97" s="988"/>
      <c r="H97" s="988"/>
      <c r="I97" s="989"/>
      <c r="J97" s="863" t="s">
        <v>162</v>
      </c>
      <c r="K97" s="975" t="s">
        <v>163</v>
      </c>
      <c r="L97" s="976"/>
      <c r="M97" s="496" t="s">
        <v>140</v>
      </c>
      <c r="N97" s="977">
        <v>27.3</v>
      </c>
      <c r="O97" s="961"/>
      <c r="P97" s="499">
        <v>27.3</v>
      </c>
      <c r="Q97" s="499">
        <v>35</v>
      </c>
    </row>
    <row r="98" spans="1:17" ht="12.75" customHeight="1">
      <c r="A98" s="491"/>
      <c r="B98" s="1009"/>
      <c r="C98" s="981"/>
      <c r="D98" s="982"/>
      <c r="E98" s="983"/>
      <c r="F98" s="993"/>
      <c r="G98" s="994"/>
      <c r="H98" s="994"/>
      <c r="I98" s="995"/>
      <c r="J98" s="863" t="s">
        <v>164</v>
      </c>
      <c r="K98" s="975" t="s">
        <v>165</v>
      </c>
      <c r="L98" s="976"/>
      <c r="M98" s="496" t="s">
        <v>140</v>
      </c>
      <c r="N98" s="977">
        <v>27.3</v>
      </c>
      <c r="O98" s="961"/>
      <c r="P98" s="499">
        <v>27.3</v>
      </c>
      <c r="Q98" s="499">
        <v>35</v>
      </c>
    </row>
    <row r="99" spans="1:17" ht="12.75" customHeight="1">
      <c r="A99" s="491"/>
      <c r="B99" s="1009"/>
      <c r="C99" s="981"/>
      <c r="D99" s="982"/>
      <c r="E99" s="983"/>
      <c r="F99" s="993"/>
      <c r="G99" s="994"/>
      <c r="H99" s="994"/>
      <c r="I99" s="995"/>
      <c r="J99" s="863" t="s">
        <v>178</v>
      </c>
      <c r="K99" s="975" t="s">
        <v>179</v>
      </c>
      <c r="L99" s="976"/>
      <c r="M99" s="496" t="s">
        <v>140</v>
      </c>
      <c r="N99" s="977">
        <v>62.47</v>
      </c>
      <c r="O99" s="961"/>
      <c r="P99" s="499">
        <v>62.47</v>
      </c>
      <c r="Q99" s="499">
        <v>75</v>
      </c>
    </row>
    <row r="100" spans="1:17" ht="12.75" customHeight="1">
      <c r="A100" s="491"/>
      <c r="B100" s="1009"/>
      <c r="C100" s="981"/>
      <c r="D100" s="982"/>
      <c r="E100" s="983"/>
      <c r="F100" s="993"/>
      <c r="G100" s="994"/>
      <c r="H100" s="994"/>
      <c r="I100" s="995"/>
      <c r="J100" s="863" t="s">
        <v>166</v>
      </c>
      <c r="K100" s="975" t="s">
        <v>167</v>
      </c>
      <c r="L100" s="976"/>
      <c r="M100" s="496" t="s">
        <v>140</v>
      </c>
      <c r="N100" s="977">
        <v>29.75</v>
      </c>
      <c r="O100" s="961"/>
      <c r="P100" s="499">
        <v>29.75</v>
      </c>
      <c r="Q100" s="499">
        <v>35</v>
      </c>
    </row>
    <row r="101" spans="1:17" ht="12.75" customHeight="1">
      <c r="A101" s="491"/>
      <c r="B101" s="1009"/>
      <c r="C101" s="981"/>
      <c r="D101" s="982"/>
      <c r="E101" s="983"/>
      <c r="F101" s="993"/>
      <c r="G101" s="994"/>
      <c r="H101" s="994"/>
      <c r="I101" s="995"/>
      <c r="J101" s="863" t="s">
        <v>168</v>
      </c>
      <c r="K101" s="975" t="s">
        <v>169</v>
      </c>
      <c r="L101" s="976"/>
      <c r="M101" s="496" t="s">
        <v>140</v>
      </c>
      <c r="N101" s="977">
        <v>29.75</v>
      </c>
      <c r="O101" s="961"/>
      <c r="P101" s="499">
        <v>29.75</v>
      </c>
      <c r="Q101" s="499">
        <v>35</v>
      </c>
    </row>
    <row r="102" spans="1:17" ht="12.75" customHeight="1">
      <c r="A102" s="491"/>
      <c r="B102" s="1009"/>
      <c r="C102" s="981"/>
      <c r="D102" s="982"/>
      <c r="E102" s="983"/>
      <c r="F102" s="990"/>
      <c r="G102" s="991"/>
      <c r="H102" s="991"/>
      <c r="I102" s="992"/>
      <c r="J102" s="867" t="s">
        <v>141</v>
      </c>
      <c r="K102" s="958" t="s">
        <v>140</v>
      </c>
      <c r="L102" s="959"/>
      <c r="M102" s="500" t="s">
        <v>140</v>
      </c>
      <c r="N102" s="960" t="s">
        <v>140</v>
      </c>
      <c r="O102" s="961"/>
      <c r="P102" s="498" t="s">
        <v>140</v>
      </c>
      <c r="Q102" s="498" t="s">
        <v>140</v>
      </c>
    </row>
    <row r="103" spans="1:17" ht="12.75" customHeight="1">
      <c r="A103" s="491"/>
      <c r="B103" s="1009"/>
      <c r="C103" s="981"/>
      <c r="D103" s="982"/>
      <c r="E103" s="983"/>
      <c r="F103" s="987" t="s">
        <v>211</v>
      </c>
      <c r="G103" s="988"/>
      <c r="H103" s="988"/>
      <c r="I103" s="989"/>
      <c r="J103" s="863" t="s">
        <v>162</v>
      </c>
      <c r="K103" s="975" t="s">
        <v>163</v>
      </c>
      <c r="L103" s="976"/>
      <c r="M103" s="496" t="s">
        <v>140</v>
      </c>
      <c r="N103" s="977">
        <v>27.3</v>
      </c>
      <c r="O103" s="961"/>
      <c r="P103" s="499">
        <v>27.3</v>
      </c>
      <c r="Q103" s="499">
        <v>34</v>
      </c>
    </row>
    <row r="104" spans="1:17" ht="12.75" customHeight="1">
      <c r="A104" s="491"/>
      <c r="B104" s="1009"/>
      <c r="C104" s="981"/>
      <c r="D104" s="982"/>
      <c r="E104" s="983"/>
      <c r="F104" s="993"/>
      <c r="G104" s="994"/>
      <c r="H104" s="994"/>
      <c r="I104" s="995"/>
      <c r="J104" s="863" t="s">
        <v>164</v>
      </c>
      <c r="K104" s="975" t="s">
        <v>165</v>
      </c>
      <c r="L104" s="976"/>
      <c r="M104" s="496" t="s">
        <v>140</v>
      </c>
      <c r="N104" s="977">
        <v>27.3</v>
      </c>
      <c r="O104" s="961"/>
      <c r="P104" s="499">
        <v>27.3</v>
      </c>
      <c r="Q104" s="499">
        <v>34</v>
      </c>
    </row>
    <row r="105" spans="1:17" ht="12.75" customHeight="1">
      <c r="A105" s="491"/>
      <c r="B105" s="1009"/>
      <c r="C105" s="981"/>
      <c r="D105" s="982"/>
      <c r="E105" s="983"/>
      <c r="F105" s="993"/>
      <c r="G105" s="994"/>
      <c r="H105" s="994"/>
      <c r="I105" s="995"/>
      <c r="J105" s="863" t="s">
        <v>166</v>
      </c>
      <c r="K105" s="975" t="s">
        <v>167</v>
      </c>
      <c r="L105" s="976"/>
      <c r="M105" s="496" t="s">
        <v>140</v>
      </c>
      <c r="N105" s="977">
        <v>29.92</v>
      </c>
      <c r="O105" s="961"/>
      <c r="P105" s="499">
        <v>29.92</v>
      </c>
      <c r="Q105" s="499">
        <v>34</v>
      </c>
    </row>
    <row r="106" spans="1:17" ht="12.75" customHeight="1">
      <c r="A106" s="491"/>
      <c r="B106" s="1009"/>
      <c r="C106" s="981"/>
      <c r="D106" s="982"/>
      <c r="E106" s="983"/>
      <c r="F106" s="993"/>
      <c r="G106" s="994"/>
      <c r="H106" s="994"/>
      <c r="I106" s="995"/>
      <c r="J106" s="863" t="s">
        <v>168</v>
      </c>
      <c r="K106" s="975" t="s">
        <v>169</v>
      </c>
      <c r="L106" s="976"/>
      <c r="M106" s="496" t="s">
        <v>140</v>
      </c>
      <c r="N106" s="977">
        <v>29.92</v>
      </c>
      <c r="O106" s="961"/>
      <c r="P106" s="499">
        <v>29.92</v>
      </c>
      <c r="Q106" s="499">
        <v>34</v>
      </c>
    </row>
    <row r="107" spans="1:17" ht="12.75" customHeight="1">
      <c r="A107" s="491"/>
      <c r="B107" s="1009"/>
      <c r="C107" s="981"/>
      <c r="D107" s="982"/>
      <c r="E107" s="983"/>
      <c r="F107" s="990"/>
      <c r="G107" s="991"/>
      <c r="H107" s="991"/>
      <c r="I107" s="992"/>
      <c r="J107" s="867" t="s">
        <v>141</v>
      </c>
      <c r="K107" s="958" t="s">
        <v>140</v>
      </c>
      <c r="L107" s="959"/>
      <c r="M107" s="500" t="s">
        <v>140</v>
      </c>
      <c r="N107" s="960" t="s">
        <v>140</v>
      </c>
      <c r="O107" s="961"/>
      <c r="P107" s="498" t="s">
        <v>140</v>
      </c>
      <c r="Q107" s="498" t="s">
        <v>140</v>
      </c>
    </row>
    <row r="108" spans="1:17" ht="12.75" customHeight="1">
      <c r="A108" s="491"/>
      <c r="B108" s="1009"/>
      <c r="C108" s="981"/>
      <c r="D108" s="982"/>
      <c r="E108" s="983"/>
      <c r="F108" s="987" t="s">
        <v>212</v>
      </c>
      <c r="G108" s="988"/>
      <c r="H108" s="988"/>
      <c r="I108" s="989"/>
      <c r="J108" s="863" t="s">
        <v>213</v>
      </c>
      <c r="K108" s="975" t="s">
        <v>214</v>
      </c>
      <c r="L108" s="976"/>
      <c r="M108" s="496" t="s">
        <v>140</v>
      </c>
      <c r="N108" s="977">
        <v>0</v>
      </c>
      <c r="O108" s="961"/>
      <c r="P108" s="499">
        <v>0</v>
      </c>
      <c r="Q108" s="498" t="s">
        <v>140</v>
      </c>
    </row>
    <row r="109" spans="1:17" ht="12.75" customHeight="1">
      <c r="A109" s="491"/>
      <c r="B109" s="1009"/>
      <c r="C109" s="981"/>
      <c r="D109" s="982"/>
      <c r="E109" s="983"/>
      <c r="F109" s="993"/>
      <c r="G109" s="994"/>
      <c r="H109" s="994"/>
      <c r="I109" s="995"/>
      <c r="J109" s="863" t="s">
        <v>215</v>
      </c>
      <c r="K109" s="975" t="s">
        <v>216</v>
      </c>
      <c r="L109" s="976"/>
      <c r="M109" s="496" t="s">
        <v>140</v>
      </c>
      <c r="N109" s="977">
        <v>0</v>
      </c>
      <c r="O109" s="961"/>
      <c r="P109" s="499">
        <v>0</v>
      </c>
      <c r="Q109" s="498" t="s">
        <v>140</v>
      </c>
    </row>
    <row r="110" spans="1:17" ht="12.75" customHeight="1">
      <c r="A110" s="491"/>
      <c r="B110" s="1009"/>
      <c r="C110" s="981"/>
      <c r="D110" s="982"/>
      <c r="E110" s="983"/>
      <c r="F110" s="993"/>
      <c r="G110" s="994"/>
      <c r="H110" s="994"/>
      <c r="I110" s="995"/>
      <c r="J110" s="863" t="s">
        <v>144</v>
      </c>
      <c r="K110" s="975" t="s">
        <v>145</v>
      </c>
      <c r="L110" s="976"/>
      <c r="M110" s="496" t="s">
        <v>140</v>
      </c>
      <c r="N110" s="977">
        <v>0</v>
      </c>
      <c r="O110" s="961"/>
      <c r="P110" s="499">
        <v>0</v>
      </c>
      <c r="Q110" s="498" t="s">
        <v>140</v>
      </c>
    </row>
    <row r="111" spans="1:17" ht="12.75" customHeight="1">
      <c r="A111" s="491"/>
      <c r="B111" s="1009"/>
      <c r="C111" s="981"/>
      <c r="D111" s="982"/>
      <c r="E111" s="983"/>
      <c r="F111" s="993"/>
      <c r="G111" s="994"/>
      <c r="H111" s="994"/>
      <c r="I111" s="995"/>
      <c r="J111" s="863" t="s">
        <v>182</v>
      </c>
      <c r="K111" s="975" t="s">
        <v>183</v>
      </c>
      <c r="L111" s="976"/>
      <c r="M111" s="496" t="s">
        <v>140</v>
      </c>
      <c r="N111" s="977">
        <v>0</v>
      </c>
      <c r="O111" s="961"/>
      <c r="P111" s="499">
        <v>0</v>
      </c>
      <c r="Q111" s="498" t="s">
        <v>140</v>
      </c>
    </row>
    <row r="112" spans="1:17" ht="12.75" customHeight="1">
      <c r="A112" s="491"/>
      <c r="B112" s="1009"/>
      <c r="C112" s="981"/>
      <c r="D112" s="982"/>
      <c r="E112" s="983"/>
      <c r="F112" s="990"/>
      <c r="G112" s="991"/>
      <c r="H112" s="991"/>
      <c r="I112" s="992"/>
      <c r="J112" s="867" t="s">
        <v>141</v>
      </c>
      <c r="K112" s="958" t="s">
        <v>140</v>
      </c>
      <c r="L112" s="959"/>
      <c r="M112" s="500" t="s">
        <v>140</v>
      </c>
      <c r="N112" s="960" t="s">
        <v>140</v>
      </c>
      <c r="O112" s="961"/>
      <c r="P112" s="498" t="s">
        <v>140</v>
      </c>
      <c r="Q112" s="498" t="s">
        <v>140</v>
      </c>
    </row>
    <row r="113" spans="1:17" ht="12.75" customHeight="1">
      <c r="A113" s="491"/>
      <c r="B113" s="1009"/>
      <c r="C113" s="981"/>
      <c r="D113" s="982"/>
      <c r="E113" s="983"/>
      <c r="F113" s="987" t="s">
        <v>217</v>
      </c>
      <c r="G113" s="988"/>
      <c r="H113" s="988"/>
      <c r="I113" s="989"/>
      <c r="J113" s="863" t="s">
        <v>162</v>
      </c>
      <c r="K113" s="975" t="s">
        <v>163</v>
      </c>
      <c r="L113" s="976"/>
      <c r="M113" s="496" t="s">
        <v>140</v>
      </c>
      <c r="N113" s="977">
        <v>27</v>
      </c>
      <c r="O113" s="961"/>
      <c r="P113" s="499">
        <v>27</v>
      </c>
      <c r="Q113" s="499">
        <v>35</v>
      </c>
    </row>
    <row r="114" spans="1:17" ht="12.75" customHeight="1">
      <c r="A114" s="491"/>
      <c r="B114" s="1009"/>
      <c r="C114" s="981"/>
      <c r="D114" s="982"/>
      <c r="E114" s="983"/>
      <c r="F114" s="993"/>
      <c r="G114" s="994"/>
      <c r="H114" s="994"/>
      <c r="I114" s="995"/>
      <c r="J114" s="863" t="s">
        <v>164</v>
      </c>
      <c r="K114" s="975" t="s">
        <v>165</v>
      </c>
      <c r="L114" s="976"/>
      <c r="M114" s="496" t="s">
        <v>140</v>
      </c>
      <c r="N114" s="977">
        <v>27</v>
      </c>
      <c r="O114" s="961"/>
      <c r="P114" s="499">
        <v>27</v>
      </c>
      <c r="Q114" s="499">
        <v>35</v>
      </c>
    </row>
    <row r="115" spans="1:17" ht="12.75" customHeight="1">
      <c r="A115" s="491"/>
      <c r="B115" s="1009"/>
      <c r="C115" s="981"/>
      <c r="D115" s="982"/>
      <c r="E115" s="983"/>
      <c r="F115" s="993"/>
      <c r="G115" s="994"/>
      <c r="H115" s="994"/>
      <c r="I115" s="995"/>
      <c r="J115" s="863" t="s">
        <v>178</v>
      </c>
      <c r="K115" s="975" t="s">
        <v>179</v>
      </c>
      <c r="L115" s="976"/>
      <c r="M115" s="496" t="s">
        <v>140</v>
      </c>
      <c r="N115" s="977">
        <v>54</v>
      </c>
      <c r="O115" s="961"/>
      <c r="P115" s="499">
        <v>54</v>
      </c>
      <c r="Q115" s="499">
        <v>60</v>
      </c>
    </row>
    <row r="116" spans="1:17" ht="12.75" customHeight="1">
      <c r="A116" s="491"/>
      <c r="B116" s="1009"/>
      <c r="C116" s="981"/>
      <c r="D116" s="982"/>
      <c r="E116" s="983"/>
      <c r="F116" s="993"/>
      <c r="G116" s="994"/>
      <c r="H116" s="994"/>
      <c r="I116" s="995"/>
      <c r="J116" s="863" t="s">
        <v>166</v>
      </c>
      <c r="K116" s="975" t="s">
        <v>167</v>
      </c>
      <c r="L116" s="976"/>
      <c r="M116" s="496" t="s">
        <v>140</v>
      </c>
      <c r="N116" s="977">
        <v>29</v>
      </c>
      <c r="O116" s="961"/>
      <c r="P116" s="499">
        <v>29</v>
      </c>
      <c r="Q116" s="499">
        <v>35</v>
      </c>
    </row>
    <row r="117" spans="1:17" ht="12.75" customHeight="1">
      <c r="A117" s="491"/>
      <c r="B117" s="1009"/>
      <c r="C117" s="981"/>
      <c r="D117" s="982"/>
      <c r="E117" s="983"/>
      <c r="F117" s="993"/>
      <c r="G117" s="994"/>
      <c r="H117" s="994"/>
      <c r="I117" s="995"/>
      <c r="J117" s="863" t="s">
        <v>168</v>
      </c>
      <c r="K117" s="975" t="s">
        <v>169</v>
      </c>
      <c r="L117" s="976"/>
      <c r="M117" s="496" t="s">
        <v>140</v>
      </c>
      <c r="N117" s="977">
        <v>29</v>
      </c>
      <c r="O117" s="961"/>
      <c r="P117" s="499">
        <v>29</v>
      </c>
      <c r="Q117" s="499">
        <v>35</v>
      </c>
    </row>
    <row r="118" spans="1:17" ht="12.75" customHeight="1">
      <c r="A118" s="491"/>
      <c r="B118" s="1009"/>
      <c r="C118" s="981"/>
      <c r="D118" s="982"/>
      <c r="E118" s="983"/>
      <c r="F118" s="990"/>
      <c r="G118" s="991"/>
      <c r="H118" s="991"/>
      <c r="I118" s="992"/>
      <c r="J118" s="867" t="s">
        <v>141</v>
      </c>
      <c r="K118" s="958" t="s">
        <v>140</v>
      </c>
      <c r="L118" s="959"/>
      <c r="M118" s="500" t="s">
        <v>140</v>
      </c>
      <c r="N118" s="960" t="s">
        <v>140</v>
      </c>
      <c r="O118" s="961"/>
      <c r="P118" s="498" t="s">
        <v>140</v>
      </c>
      <c r="Q118" s="498" t="s">
        <v>140</v>
      </c>
    </row>
    <row r="119" spans="1:17" ht="12.75" customHeight="1">
      <c r="A119" s="491"/>
      <c r="B119" s="1009"/>
      <c r="C119" s="981"/>
      <c r="D119" s="982"/>
      <c r="E119" s="983"/>
      <c r="F119" s="987" t="s">
        <v>218</v>
      </c>
      <c r="G119" s="988"/>
      <c r="H119" s="988"/>
      <c r="I119" s="989"/>
      <c r="J119" s="863" t="s">
        <v>162</v>
      </c>
      <c r="K119" s="975" t="s">
        <v>163</v>
      </c>
      <c r="L119" s="976"/>
      <c r="M119" s="496" t="s">
        <v>140</v>
      </c>
      <c r="N119" s="977">
        <v>27.3</v>
      </c>
      <c r="O119" s="961"/>
      <c r="P119" s="499">
        <v>27.3</v>
      </c>
      <c r="Q119" s="499">
        <v>38</v>
      </c>
    </row>
    <row r="120" spans="1:17" ht="12.75" customHeight="1">
      <c r="A120" s="491"/>
      <c r="B120" s="1009"/>
      <c r="C120" s="981"/>
      <c r="D120" s="982"/>
      <c r="E120" s="983"/>
      <c r="F120" s="993"/>
      <c r="G120" s="994"/>
      <c r="H120" s="994"/>
      <c r="I120" s="995"/>
      <c r="J120" s="863" t="s">
        <v>164</v>
      </c>
      <c r="K120" s="975" t="s">
        <v>165</v>
      </c>
      <c r="L120" s="976"/>
      <c r="M120" s="496" t="s">
        <v>140</v>
      </c>
      <c r="N120" s="977">
        <v>27.3</v>
      </c>
      <c r="O120" s="961"/>
      <c r="P120" s="499">
        <v>27.3</v>
      </c>
      <c r="Q120" s="499">
        <v>38</v>
      </c>
    </row>
    <row r="121" spans="1:17" ht="12.75" customHeight="1">
      <c r="A121" s="491"/>
      <c r="B121" s="1009"/>
      <c r="C121" s="981"/>
      <c r="D121" s="982"/>
      <c r="E121" s="983"/>
      <c r="F121" s="993"/>
      <c r="G121" s="994"/>
      <c r="H121" s="994"/>
      <c r="I121" s="995"/>
      <c r="J121" s="863" t="s">
        <v>178</v>
      </c>
      <c r="K121" s="975" t="s">
        <v>179</v>
      </c>
      <c r="L121" s="976"/>
      <c r="M121" s="496" t="s">
        <v>140</v>
      </c>
      <c r="N121" s="977">
        <v>62.47</v>
      </c>
      <c r="O121" s="961"/>
      <c r="P121" s="499">
        <v>62.47</v>
      </c>
      <c r="Q121" s="499">
        <v>120</v>
      </c>
    </row>
    <row r="122" spans="1:17" ht="12.75" customHeight="1">
      <c r="A122" s="491"/>
      <c r="B122" s="1009"/>
      <c r="C122" s="981"/>
      <c r="D122" s="982"/>
      <c r="E122" s="983"/>
      <c r="F122" s="993"/>
      <c r="G122" s="994"/>
      <c r="H122" s="994"/>
      <c r="I122" s="995"/>
      <c r="J122" s="863" t="s">
        <v>166</v>
      </c>
      <c r="K122" s="975" t="s">
        <v>167</v>
      </c>
      <c r="L122" s="976"/>
      <c r="M122" s="496" t="s">
        <v>140</v>
      </c>
      <c r="N122" s="977">
        <v>29.92</v>
      </c>
      <c r="O122" s="961"/>
      <c r="P122" s="499">
        <v>29.92</v>
      </c>
      <c r="Q122" s="499">
        <v>40</v>
      </c>
    </row>
    <row r="123" spans="1:17" ht="12.75" customHeight="1">
      <c r="A123" s="491"/>
      <c r="B123" s="1009"/>
      <c r="C123" s="981"/>
      <c r="D123" s="982"/>
      <c r="E123" s="983"/>
      <c r="F123" s="993"/>
      <c r="G123" s="994"/>
      <c r="H123" s="994"/>
      <c r="I123" s="995"/>
      <c r="J123" s="863" t="s">
        <v>168</v>
      </c>
      <c r="K123" s="975" t="s">
        <v>169</v>
      </c>
      <c r="L123" s="976"/>
      <c r="M123" s="496" t="s">
        <v>140</v>
      </c>
      <c r="N123" s="977">
        <v>29.92</v>
      </c>
      <c r="O123" s="961"/>
      <c r="P123" s="499">
        <v>29.92</v>
      </c>
      <c r="Q123" s="499">
        <v>50</v>
      </c>
    </row>
    <row r="124" spans="1:17" ht="12.75" customHeight="1">
      <c r="A124" s="491"/>
      <c r="B124" s="1009"/>
      <c r="C124" s="981"/>
      <c r="D124" s="982"/>
      <c r="E124" s="983"/>
      <c r="F124" s="993"/>
      <c r="G124" s="994"/>
      <c r="H124" s="994"/>
      <c r="I124" s="995"/>
      <c r="J124" s="863" t="s">
        <v>219</v>
      </c>
      <c r="K124" s="975" t="s">
        <v>220</v>
      </c>
      <c r="L124" s="976"/>
      <c r="M124" s="496" t="s">
        <v>140</v>
      </c>
      <c r="N124" s="977">
        <v>46.72</v>
      </c>
      <c r="O124" s="961"/>
      <c r="P124" s="499">
        <v>46.72</v>
      </c>
      <c r="Q124" s="499">
        <v>75</v>
      </c>
    </row>
    <row r="125" spans="1:17" ht="12.75" customHeight="1">
      <c r="A125" s="491"/>
      <c r="B125" s="1009"/>
      <c r="C125" s="981"/>
      <c r="D125" s="982"/>
      <c r="E125" s="983"/>
      <c r="F125" s="993"/>
      <c r="G125" s="994"/>
      <c r="H125" s="994"/>
      <c r="I125" s="995"/>
      <c r="J125" s="863" t="s">
        <v>221</v>
      </c>
      <c r="K125" s="975" t="s">
        <v>222</v>
      </c>
      <c r="L125" s="976"/>
      <c r="M125" s="496" t="s">
        <v>140</v>
      </c>
      <c r="N125" s="977">
        <v>43.05</v>
      </c>
      <c r="O125" s="961"/>
      <c r="P125" s="499">
        <v>43.05</v>
      </c>
      <c r="Q125" s="499">
        <v>60</v>
      </c>
    </row>
    <row r="126" spans="1:17" ht="12.75" customHeight="1">
      <c r="A126" s="491"/>
      <c r="B126" s="1009"/>
      <c r="C126" s="981"/>
      <c r="D126" s="982"/>
      <c r="E126" s="983"/>
      <c r="F126" s="990"/>
      <c r="G126" s="991"/>
      <c r="H126" s="991"/>
      <c r="I126" s="992"/>
      <c r="J126" s="867" t="s">
        <v>141</v>
      </c>
      <c r="K126" s="958" t="s">
        <v>140</v>
      </c>
      <c r="L126" s="959"/>
      <c r="M126" s="500" t="s">
        <v>140</v>
      </c>
      <c r="N126" s="960" t="s">
        <v>140</v>
      </c>
      <c r="O126" s="961"/>
      <c r="P126" s="498" t="s">
        <v>140</v>
      </c>
      <c r="Q126" s="498" t="s">
        <v>140</v>
      </c>
    </row>
    <row r="127" spans="1:17" ht="12.75" customHeight="1">
      <c r="A127" s="491"/>
      <c r="B127" s="1009"/>
      <c r="C127" s="981"/>
      <c r="D127" s="982"/>
      <c r="E127" s="983"/>
      <c r="F127" s="987" t="s">
        <v>223</v>
      </c>
      <c r="G127" s="988"/>
      <c r="H127" s="988"/>
      <c r="I127" s="989"/>
      <c r="J127" s="863" t="s">
        <v>213</v>
      </c>
      <c r="K127" s="975" t="s">
        <v>214</v>
      </c>
      <c r="L127" s="976"/>
      <c r="M127" s="496" t="s">
        <v>140</v>
      </c>
      <c r="N127" s="977">
        <v>0</v>
      </c>
      <c r="O127" s="961"/>
      <c r="P127" s="499">
        <v>0</v>
      </c>
      <c r="Q127" s="498" t="s">
        <v>140</v>
      </c>
    </row>
    <row r="128" spans="1:17" ht="12.75" customHeight="1">
      <c r="A128" s="491"/>
      <c r="B128" s="1009"/>
      <c r="C128" s="981"/>
      <c r="D128" s="982"/>
      <c r="E128" s="983"/>
      <c r="F128" s="993"/>
      <c r="G128" s="994"/>
      <c r="H128" s="994"/>
      <c r="I128" s="995"/>
      <c r="J128" s="863" t="s">
        <v>215</v>
      </c>
      <c r="K128" s="975" t="s">
        <v>216</v>
      </c>
      <c r="L128" s="976"/>
      <c r="M128" s="496" t="s">
        <v>140</v>
      </c>
      <c r="N128" s="977">
        <v>0</v>
      </c>
      <c r="O128" s="961"/>
      <c r="P128" s="499">
        <v>0</v>
      </c>
      <c r="Q128" s="498" t="s">
        <v>140</v>
      </c>
    </row>
    <row r="129" spans="1:17" ht="12.75" customHeight="1">
      <c r="A129" s="491"/>
      <c r="B129" s="1009"/>
      <c r="C129" s="981"/>
      <c r="D129" s="982"/>
      <c r="E129" s="983"/>
      <c r="F129" s="993"/>
      <c r="G129" s="994"/>
      <c r="H129" s="994"/>
      <c r="I129" s="995"/>
      <c r="J129" s="863" t="s">
        <v>144</v>
      </c>
      <c r="K129" s="975" t="s">
        <v>145</v>
      </c>
      <c r="L129" s="976"/>
      <c r="M129" s="496" t="s">
        <v>140</v>
      </c>
      <c r="N129" s="977">
        <v>0</v>
      </c>
      <c r="O129" s="961"/>
      <c r="P129" s="499">
        <v>0</v>
      </c>
      <c r="Q129" s="498" t="s">
        <v>140</v>
      </c>
    </row>
    <row r="130" spans="1:17" ht="12.75" customHeight="1">
      <c r="A130" s="491"/>
      <c r="B130" s="1009"/>
      <c r="C130" s="981"/>
      <c r="D130" s="982"/>
      <c r="E130" s="983"/>
      <c r="F130" s="993"/>
      <c r="G130" s="994"/>
      <c r="H130" s="994"/>
      <c r="I130" s="995"/>
      <c r="J130" s="863" t="s">
        <v>182</v>
      </c>
      <c r="K130" s="975" t="s">
        <v>183</v>
      </c>
      <c r="L130" s="976"/>
      <c r="M130" s="496" t="s">
        <v>140</v>
      </c>
      <c r="N130" s="977">
        <v>0</v>
      </c>
      <c r="O130" s="961"/>
      <c r="P130" s="499">
        <v>0</v>
      </c>
      <c r="Q130" s="498" t="s">
        <v>140</v>
      </c>
    </row>
    <row r="131" spans="1:17" ht="12.75" customHeight="1">
      <c r="A131" s="491"/>
      <c r="B131" s="1009"/>
      <c r="C131" s="981"/>
      <c r="D131" s="982"/>
      <c r="E131" s="983"/>
      <c r="F131" s="990"/>
      <c r="G131" s="991"/>
      <c r="H131" s="991"/>
      <c r="I131" s="992"/>
      <c r="J131" s="867" t="s">
        <v>141</v>
      </c>
      <c r="K131" s="958" t="s">
        <v>140</v>
      </c>
      <c r="L131" s="959"/>
      <c r="M131" s="500" t="s">
        <v>140</v>
      </c>
      <c r="N131" s="960" t="s">
        <v>140</v>
      </c>
      <c r="O131" s="961"/>
      <c r="P131" s="498" t="s">
        <v>140</v>
      </c>
      <c r="Q131" s="498" t="s">
        <v>140</v>
      </c>
    </row>
    <row r="132" spans="1:17" ht="12.75" customHeight="1">
      <c r="A132" s="491"/>
      <c r="B132" s="1009"/>
      <c r="C132" s="981"/>
      <c r="D132" s="982"/>
      <c r="E132" s="983"/>
      <c r="F132" s="987" t="s">
        <v>224</v>
      </c>
      <c r="G132" s="988"/>
      <c r="H132" s="988"/>
      <c r="I132" s="989"/>
      <c r="J132" s="863" t="s">
        <v>225</v>
      </c>
      <c r="K132" s="975" t="s">
        <v>226</v>
      </c>
      <c r="L132" s="976"/>
      <c r="M132" s="497">
        <v>142730</v>
      </c>
      <c r="N132" s="977">
        <v>131.9</v>
      </c>
      <c r="O132" s="961"/>
      <c r="P132" s="499">
        <v>131.9</v>
      </c>
      <c r="Q132" s="499">
        <v>131.9</v>
      </c>
    </row>
    <row r="133" spans="1:17" ht="12.75" customHeight="1">
      <c r="A133" s="491"/>
      <c r="B133" s="1009"/>
      <c r="C133" s="981"/>
      <c r="D133" s="982"/>
      <c r="E133" s="983"/>
      <c r="F133" s="993"/>
      <c r="G133" s="994"/>
      <c r="H133" s="994"/>
      <c r="I133" s="995"/>
      <c r="J133" s="863" t="s">
        <v>227</v>
      </c>
      <c r="K133" s="975" t="s">
        <v>228</v>
      </c>
      <c r="L133" s="976"/>
      <c r="M133" s="497">
        <v>1688265.59</v>
      </c>
      <c r="N133" s="977">
        <v>0</v>
      </c>
      <c r="O133" s="961"/>
      <c r="P133" s="499">
        <v>0</v>
      </c>
      <c r="Q133" s="498" t="s">
        <v>140</v>
      </c>
    </row>
    <row r="134" spans="1:17" ht="12.75" customHeight="1">
      <c r="A134" s="491"/>
      <c r="B134" s="1009"/>
      <c r="C134" s="981"/>
      <c r="D134" s="982"/>
      <c r="E134" s="983"/>
      <c r="F134" s="990"/>
      <c r="G134" s="991"/>
      <c r="H134" s="991"/>
      <c r="I134" s="992"/>
      <c r="J134" s="867" t="s">
        <v>141</v>
      </c>
      <c r="K134" s="958" t="s">
        <v>140</v>
      </c>
      <c r="L134" s="959"/>
      <c r="M134" s="501">
        <v>1830995.59</v>
      </c>
      <c r="N134" s="960" t="s">
        <v>140</v>
      </c>
      <c r="O134" s="961"/>
      <c r="P134" s="498" t="s">
        <v>140</v>
      </c>
      <c r="Q134" s="498" t="s">
        <v>140</v>
      </c>
    </row>
    <row r="135" spans="1:17" ht="12.75" customHeight="1">
      <c r="A135" s="491"/>
      <c r="B135" s="1009"/>
      <c r="C135" s="981"/>
      <c r="D135" s="982"/>
      <c r="E135" s="983"/>
      <c r="F135" s="987" t="s">
        <v>229</v>
      </c>
      <c r="G135" s="988"/>
      <c r="H135" s="988"/>
      <c r="I135" s="989"/>
      <c r="J135" s="863" t="s">
        <v>192</v>
      </c>
      <c r="K135" s="975" t="s">
        <v>193</v>
      </c>
      <c r="L135" s="976"/>
      <c r="M135" s="496" t="s">
        <v>140</v>
      </c>
      <c r="N135" s="977">
        <v>7.9</v>
      </c>
      <c r="O135" s="961"/>
      <c r="P135" s="499">
        <v>7.9</v>
      </c>
      <c r="Q135" s="499">
        <v>14.95</v>
      </c>
    </row>
    <row r="136" spans="1:17" ht="12.75" customHeight="1">
      <c r="A136" s="491"/>
      <c r="B136" s="1009"/>
      <c r="C136" s="981"/>
      <c r="D136" s="982"/>
      <c r="E136" s="983"/>
      <c r="F136" s="993"/>
      <c r="G136" s="994"/>
      <c r="H136" s="994"/>
      <c r="I136" s="995"/>
      <c r="J136" s="863" t="s">
        <v>194</v>
      </c>
      <c r="K136" s="975" t="s">
        <v>195</v>
      </c>
      <c r="L136" s="976"/>
      <c r="M136" s="496" t="s">
        <v>140</v>
      </c>
      <c r="N136" s="977">
        <v>7.9</v>
      </c>
      <c r="O136" s="961"/>
      <c r="P136" s="499">
        <v>7.9</v>
      </c>
      <c r="Q136" s="499">
        <v>14.95</v>
      </c>
    </row>
    <row r="137" spans="1:17" ht="12.75" customHeight="1">
      <c r="A137" s="491"/>
      <c r="B137" s="1009"/>
      <c r="C137" s="981"/>
      <c r="D137" s="982"/>
      <c r="E137" s="983"/>
      <c r="F137" s="990"/>
      <c r="G137" s="991"/>
      <c r="H137" s="991"/>
      <c r="I137" s="992"/>
      <c r="J137" s="867" t="s">
        <v>141</v>
      </c>
      <c r="K137" s="958" t="s">
        <v>140</v>
      </c>
      <c r="L137" s="959"/>
      <c r="M137" s="500" t="s">
        <v>140</v>
      </c>
      <c r="N137" s="960" t="s">
        <v>140</v>
      </c>
      <c r="O137" s="961"/>
      <c r="P137" s="498" t="s">
        <v>140</v>
      </c>
      <c r="Q137" s="498" t="s">
        <v>140</v>
      </c>
    </row>
    <row r="138" spans="1:17" ht="12.75" customHeight="1">
      <c r="A138" s="491"/>
      <c r="B138" s="1009"/>
      <c r="C138" s="981"/>
      <c r="D138" s="982"/>
      <c r="E138" s="983"/>
      <c r="F138" s="987" t="s">
        <v>230</v>
      </c>
      <c r="G138" s="988"/>
      <c r="H138" s="988"/>
      <c r="I138" s="989"/>
      <c r="J138" s="863" t="s">
        <v>231</v>
      </c>
      <c r="K138" s="975" t="s">
        <v>232</v>
      </c>
      <c r="L138" s="976"/>
      <c r="M138" s="496" t="s">
        <v>140</v>
      </c>
      <c r="N138" s="977">
        <v>93.97</v>
      </c>
      <c r="O138" s="961"/>
      <c r="P138" s="499">
        <v>93.97</v>
      </c>
      <c r="Q138" s="499">
        <v>173.25</v>
      </c>
    </row>
    <row r="139" spans="1:17" ht="12.75" customHeight="1">
      <c r="A139" s="491"/>
      <c r="B139" s="1009"/>
      <c r="C139" s="981"/>
      <c r="D139" s="982"/>
      <c r="E139" s="983"/>
      <c r="F139" s="993"/>
      <c r="G139" s="994"/>
      <c r="H139" s="994"/>
      <c r="I139" s="995"/>
      <c r="J139" s="863" t="s">
        <v>158</v>
      </c>
      <c r="K139" s="975" t="s">
        <v>159</v>
      </c>
      <c r="L139" s="976"/>
      <c r="M139" s="496" t="s">
        <v>140</v>
      </c>
      <c r="N139" s="977">
        <v>94.49</v>
      </c>
      <c r="O139" s="961"/>
      <c r="P139" s="499">
        <v>94.49</v>
      </c>
      <c r="Q139" s="499">
        <v>173.25</v>
      </c>
    </row>
    <row r="140" spans="1:17" ht="12.75" customHeight="1">
      <c r="A140" s="491"/>
      <c r="B140" s="1009"/>
      <c r="C140" s="981"/>
      <c r="D140" s="982"/>
      <c r="E140" s="983"/>
      <c r="F140" s="990"/>
      <c r="G140" s="991"/>
      <c r="H140" s="991"/>
      <c r="I140" s="992"/>
      <c r="J140" s="867" t="s">
        <v>141</v>
      </c>
      <c r="K140" s="958" t="s">
        <v>140</v>
      </c>
      <c r="L140" s="959"/>
      <c r="M140" s="500" t="s">
        <v>140</v>
      </c>
      <c r="N140" s="960" t="s">
        <v>140</v>
      </c>
      <c r="O140" s="961"/>
      <c r="P140" s="498" t="s">
        <v>140</v>
      </c>
      <c r="Q140" s="498" t="s">
        <v>140</v>
      </c>
    </row>
    <row r="141" spans="1:17" ht="12.75" customHeight="1">
      <c r="A141" s="491"/>
      <c r="B141" s="1009"/>
      <c r="C141" s="981"/>
      <c r="D141" s="982"/>
      <c r="E141" s="983"/>
      <c r="F141" s="987" t="s">
        <v>233</v>
      </c>
      <c r="G141" s="988"/>
      <c r="H141" s="988"/>
      <c r="I141" s="989"/>
      <c r="J141" s="863" t="s">
        <v>172</v>
      </c>
      <c r="K141" s="975" t="s">
        <v>173</v>
      </c>
      <c r="L141" s="976"/>
      <c r="M141" s="496" t="s">
        <v>140</v>
      </c>
      <c r="N141" s="977">
        <v>47.25</v>
      </c>
      <c r="O141" s="961"/>
      <c r="P141" s="499">
        <v>47.25</v>
      </c>
      <c r="Q141" s="499">
        <v>90</v>
      </c>
    </row>
    <row r="142" spans="1:17" ht="12.75" customHeight="1">
      <c r="A142" s="491"/>
      <c r="B142" s="1009"/>
      <c r="C142" s="981"/>
      <c r="D142" s="982"/>
      <c r="E142" s="983"/>
      <c r="F142" s="993"/>
      <c r="G142" s="994"/>
      <c r="H142" s="994"/>
      <c r="I142" s="995"/>
      <c r="J142" s="863" t="s">
        <v>174</v>
      </c>
      <c r="K142" s="975" t="s">
        <v>175</v>
      </c>
      <c r="L142" s="976"/>
      <c r="M142" s="496" t="s">
        <v>140</v>
      </c>
      <c r="N142" s="977">
        <v>54.49</v>
      </c>
      <c r="O142" s="961"/>
      <c r="P142" s="499">
        <v>54.49</v>
      </c>
      <c r="Q142" s="499">
        <v>90</v>
      </c>
    </row>
    <row r="143" spans="1:17" ht="12.75" customHeight="1">
      <c r="A143" s="491"/>
      <c r="B143" s="1009"/>
      <c r="C143" s="981"/>
      <c r="D143" s="982"/>
      <c r="E143" s="983"/>
      <c r="F143" s="993"/>
      <c r="G143" s="994"/>
      <c r="H143" s="994"/>
      <c r="I143" s="995"/>
      <c r="J143" s="863" t="s">
        <v>213</v>
      </c>
      <c r="K143" s="975" t="s">
        <v>214</v>
      </c>
      <c r="L143" s="976"/>
      <c r="M143" s="496" t="s">
        <v>140</v>
      </c>
      <c r="N143" s="977">
        <v>0</v>
      </c>
      <c r="O143" s="961"/>
      <c r="P143" s="499">
        <v>0</v>
      </c>
      <c r="Q143" s="498" t="s">
        <v>140</v>
      </c>
    </row>
    <row r="144" spans="1:17" ht="12.75" customHeight="1">
      <c r="A144" s="491"/>
      <c r="B144" s="1009"/>
      <c r="C144" s="981"/>
      <c r="D144" s="982"/>
      <c r="E144" s="983"/>
      <c r="F144" s="993"/>
      <c r="G144" s="994"/>
      <c r="H144" s="994"/>
      <c r="I144" s="995"/>
      <c r="J144" s="863" t="s">
        <v>215</v>
      </c>
      <c r="K144" s="975" t="s">
        <v>216</v>
      </c>
      <c r="L144" s="976"/>
      <c r="M144" s="496" t="s">
        <v>140</v>
      </c>
      <c r="N144" s="977">
        <v>0</v>
      </c>
      <c r="O144" s="961"/>
      <c r="P144" s="499">
        <v>0</v>
      </c>
      <c r="Q144" s="498" t="s">
        <v>140</v>
      </c>
    </row>
    <row r="145" spans="1:17" ht="12.75" customHeight="1">
      <c r="A145" s="491"/>
      <c r="B145" s="1009"/>
      <c r="C145" s="981"/>
      <c r="D145" s="982"/>
      <c r="E145" s="983"/>
      <c r="F145" s="993"/>
      <c r="G145" s="994"/>
      <c r="H145" s="994"/>
      <c r="I145" s="995"/>
      <c r="J145" s="863" t="s">
        <v>144</v>
      </c>
      <c r="K145" s="975" t="s">
        <v>145</v>
      </c>
      <c r="L145" s="976"/>
      <c r="M145" s="496" t="s">
        <v>140</v>
      </c>
      <c r="N145" s="977">
        <v>0</v>
      </c>
      <c r="O145" s="961"/>
      <c r="P145" s="499">
        <v>0</v>
      </c>
      <c r="Q145" s="498" t="s">
        <v>140</v>
      </c>
    </row>
    <row r="146" spans="1:17" ht="12.75" customHeight="1">
      <c r="A146" s="491"/>
      <c r="B146" s="1009"/>
      <c r="C146" s="981"/>
      <c r="D146" s="982"/>
      <c r="E146" s="983"/>
      <c r="F146" s="993"/>
      <c r="G146" s="994"/>
      <c r="H146" s="994"/>
      <c r="I146" s="995"/>
      <c r="J146" s="863" t="s">
        <v>146</v>
      </c>
      <c r="K146" s="975" t="s">
        <v>147</v>
      </c>
      <c r="L146" s="976"/>
      <c r="M146" s="496" t="s">
        <v>140</v>
      </c>
      <c r="N146" s="977">
        <v>96.59</v>
      </c>
      <c r="O146" s="961"/>
      <c r="P146" s="499">
        <v>96.59</v>
      </c>
      <c r="Q146" s="499">
        <v>150</v>
      </c>
    </row>
    <row r="147" spans="1:17" ht="12.75" customHeight="1">
      <c r="A147" s="491"/>
      <c r="B147" s="1009"/>
      <c r="C147" s="981"/>
      <c r="D147" s="982"/>
      <c r="E147" s="983"/>
      <c r="F147" s="993"/>
      <c r="G147" s="994"/>
      <c r="H147" s="994"/>
      <c r="I147" s="995"/>
      <c r="J147" s="863" t="s">
        <v>148</v>
      </c>
      <c r="K147" s="975" t="s">
        <v>149</v>
      </c>
      <c r="L147" s="976"/>
      <c r="M147" s="496" t="s">
        <v>140</v>
      </c>
      <c r="N147" s="977">
        <v>74.28</v>
      </c>
      <c r="O147" s="961"/>
      <c r="P147" s="499">
        <v>74.28</v>
      </c>
      <c r="Q147" s="499">
        <v>150</v>
      </c>
    </row>
    <row r="148" spans="1:17" ht="12.75" customHeight="1">
      <c r="A148" s="491"/>
      <c r="B148" s="1009"/>
      <c r="C148" s="981"/>
      <c r="D148" s="982"/>
      <c r="E148" s="983"/>
      <c r="F148" s="990"/>
      <c r="G148" s="991"/>
      <c r="H148" s="991"/>
      <c r="I148" s="992"/>
      <c r="J148" s="867" t="s">
        <v>141</v>
      </c>
      <c r="K148" s="958" t="s">
        <v>140</v>
      </c>
      <c r="L148" s="959"/>
      <c r="M148" s="500" t="s">
        <v>140</v>
      </c>
      <c r="N148" s="960" t="s">
        <v>140</v>
      </c>
      <c r="O148" s="961"/>
      <c r="P148" s="498" t="s">
        <v>140</v>
      </c>
      <c r="Q148" s="498" t="s">
        <v>140</v>
      </c>
    </row>
    <row r="149" spans="1:17" ht="12.75" customHeight="1">
      <c r="A149" s="491"/>
      <c r="B149" s="1009"/>
      <c r="C149" s="981"/>
      <c r="D149" s="982"/>
      <c r="E149" s="983"/>
      <c r="F149" s="987" t="s">
        <v>234</v>
      </c>
      <c r="G149" s="988"/>
      <c r="H149" s="988"/>
      <c r="I149" s="989"/>
      <c r="J149" s="863" t="s">
        <v>172</v>
      </c>
      <c r="K149" s="975" t="s">
        <v>173</v>
      </c>
      <c r="L149" s="976"/>
      <c r="M149" s="496" t="s">
        <v>140</v>
      </c>
      <c r="N149" s="977">
        <v>40</v>
      </c>
      <c r="O149" s="961"/>
      <c r="P149" s="499">
        <v>40</v>
      </c>
      <c r="Q149" s="499">
        <v>45</v>
      </c>
    </row>
    <row r="150" spans="1:17" ht="12.75" customHeight="1">
      <c r="A150" s="491"/>
      <c r="B150" s="1009"/>
      <c r="C150" s="981"/>
      <c r="D150" s="982"/>
      <c r="E150" s="983"/>
      <c r="F150" s="993"/>
      <c r="G150" s="994"/>
      <c r="H150" s="994"/>
      <c r="I150" s="995"/>
      <c r="J150" s="863" t="s">
        <v>162</v>
      </c>
      <c r="K150" s="975" t="s">
        <v>163</v>
      </c>
      <c r="L150" s="976"/>
      <c r="M150" s="496" t="s">
        <v>140</v>
      </c>
      <c r="N150" s="977">
        <v>23.4</v>
      </c>
      <c r="O150" s="961"/>
      <c r="P150" s="499">
        <v>23.4</v>
      </c>
      <c r="Q150" s="499">
        <v>26</v>
      </c>
    </row>
    <row r="151" spans="1:17" ht="12.75" customHeight="1">
      <c r="A151" s="491"/>
      <c r="B151" s="1009"/>
      <c r="C151" s="981"/>
      <c r="D151" s="982"/>
      <c r="E151" s="983"/>
      <c r="F151" s="993"/>
      <c r="G151" s="994"/>
      <c r="H151" s="994"/>
      <c r="I151" s="995"/>
      <c r="J151" s="863" t="s">
        <v>174</v>
      </c>
      <c r="K151" s="975" t="s">
        <v>175</v>
      </c>
      <c r="L151" s="976"/>
      <c r="M151" s="496" t="s">
        <v>140</v>
      </c>
      <c r="N151" s="977">
        <v>42.5</v>
      </c>
      <c r="O151" s="961"/>
      <c r="P151" s="499">
        <v>42.5</v>
      </c>
      <c r="Q151" s="499">
        <v>47</v>
      </c>
    </row>
    <row r="152" spans="1:17" ht="12.75" customHeight="1">
      <c r="A152" s="491"/>
      <c r="B152" s="1009"/>
      <c r="C152" s="981"/>
      <c r="D152" s="982"/>
      <c r="E152" s="983"/>
      <c r="F152" s="993"/>
      <c r="G152" s="994"/>
      <c r="H152" s="994"/>
      <c r="I152" s="995"/>
      <c r="J152" s="863" t="s">
        <v>164</v>
      </c>
      <c r="K152" s="975" t="s">
        <v>165</v>
      </c>
      <c r="L152" s="976"/>
      <c r="M152" s="496" t="s">
        <v>140</v>
      </c>
      <c r="N152" s="977">
        <v>24.3</v>
      </c>
      <c r="O152" s="961"/>
      <c r="P152" s="499">
        <v>24.3</v>
      </c>
      <c r="Q152" s="499">
        <v>27</v>
      </c>
    </row>
    <row r="153" spans="1:17" ht="12.75" customHeight="1">
      <c r="A153" s="491"/>
      <c r="B153" s="1009"/>
      <c r="C153" s="981"/>
      <c r="D153" s="982"/>
      <c r="E153" s="983"/>
      <c r="F153" s="993"/>
      <c r="G153" s="994"/>
      <c r="H153" s="994"/>
      <c r="I153" s="995"/>
      <c r="J153" s="863" t="s">
        <v>215</v>
      </c>
      <c r="K153" s="975" t="s">
        <v>216</v>
      </c>
      <c r="L153" s="976"/>
      <c r="M153" s="496" t="s">
        <v>140</v>
      </c>
      <c r="N153" s="977">
        <v>0</v>
      </c>
      <c r="O153" s="961"/>
      <c r="P153" s="499">
        <v>0</v>
      </c>
      <c r="Q153" s="499">
        <v>0</v>
      </c>
    </row>
    <row r="154" spans="1:17" ht="12.75" customHeight="1">
      <c r="A154" s="491"/>
      <c r="B154" s="1009"/>
      <c r="C154" s="981"/>
      <c r="D154" s="982"/>
      <c r="E154" s="983"/>
      <c r="F154" s="990"/>
      <c r="G154" s="991"/>
      <c r="H154" s="991"/>
      <c r="I154" s="992"/>
      <c r="J154" s="867" t="s">
        <v>141</v>
      </c>
      <c r="K154" s="958" t="s">
        <v>140</v>
      </c>
      <c r="L154" s="959"/>
      <c r="M154" s="500" t="s">
        <v>140</v>
      </c>
      <c r="N154" s="960" t="s">
        <v>140</v>
      </c>
      <c r="O154" s="961"/>
      <c r="P154" s="498" t="s">
        <v>140</v>
      </c>
      <c r="Q154" s="498" t="s">
        <v>140</v>
      </c>
    </row>
    <row r="155" spans="1:17" ht="12.75" customHeight="1">
      <c r="A155" s="491"/>
      <c r="B155" s="1009"/>
      <c r="C155" s="981"/>
      <c r="D155" s="982"/>
      <c r="E155" s="983"/>
      <c r="F155" s="987" t="s">
        <v>235</v>
      </c>
      <c r="G155" s="988"/>
      <c r="H155" s="988"/>
      <c r="I155" s="989"/>
      <c r="J155" s="863" t="s">
        <v>213</v>
      </c>
      <c r="K155" s="975" t="s">
        <v>214</v>
      </c>
      <c r="L155" s="976"/>
      <c r="M155" s="496" t="s">
        <v>140</v>
      </c>
      <c r="N155" s="977">
        <v>0</v>
      </c>
      <c r="O155" s="961"/>
      <c r="P155" s="499">
        <v>0</v>
      </c>
      <c r="Q155" s="498" t="s">
        <v>140</v>
      </c>
    </row>
    <row r="156" spans="1:17" ht="12.75" customHeight="1">
      <c r="A156" s="491"/>
      <c r="B156" s="1009"/>
      <c r="C156" s="981"/>
      <c r="D156" s="982"/>
      <c r="E156" s="983"/>
      <c r="F156" s="993"/>
      <c r="G156" s="994"/>
      <c r="H156" s="994"/>
      <c r="I156" s="995"/>
      <c r="J156" s="863" t="s">
        <v>215</v>
      </c>
      <c r="K156" s="975" t="s">
        <v>216</v>
      </c>
      <c r="L156" s="976"/>
      <c r="M156" s="496" t="s">
        <v>140</v>
      </c>
      <c r="N156" s="977">
        <v>0</v>
      </c>
      <c r="O156" s="961"/>
      <c r="P156" s="499">
        <v>0</v>
      </c>
      <c r="Q156" s="498" t="s">
        <v>140</v>
      </c>
    </row>
    <row r="157" spans="1:17" ht="12.75" customHeight="1">
      <c r="A157" s="491"/>
      <c r="B157" s="1009"/>
      <c r="C157" s="981"/>
      <c r="D157" s="982"/>
      <c r="E157" s="983"/>
      <c r="F157" s="993"/>
      <c r="G157" s="994"/>
      <c r="H157" s="994"/>
      <c r="I157" s="995"/>
      <c r="J157" s="863" t="s">
        <v>144</v>
      </c>
      <c r="K157" s="975" t="s">
        <v>145</v>
      </c>
      <c r="L157" s="976"/>
      <c r="M157" s="496" t="s">
        <v>140</v>
      </c>
      <c r="N157" s="977">
        <v>0</v>
      </c>
      <c r="O157" s="961"/>
      <c r="P157" s="499">
        <v>0</v>
      </c>
      <c r="Q157" s="498" t="s">
        <v>140</v>
      </c>
    </row>
    <row r="158" spans="1:17" ht="12.75" customHeight="1">
      <c r="A158" s="491"/>
      <c r="B158" s="1009"/>
      <c r="C158" s="981"/>
      <c r="D158" s="982"/>
      <c r="E158" s="983"/>
      <c r="F158" s="990"/>
      <c r="G158" s="991"/>
      <c r="H158" s="991"/>
      <c r="I158" s="992"/>
      <c r="J158" s="867" t="s">
        <v>141</v>
      </c>
      <c r="K158" s="958" t="s">
        <v>140</v>
      </c>
      <c r="L158" s="959"/>
      <c r="M158" s="500" t="s">
        <v>140</v>
      </c>
      <c r="N158" s="960" t="s">
        <v>140</v>
      </c>
      <c r="O158" s="961"/>
      <c r="P158" s="498" t="s">
        <v>140</v>
      </c>
      <c r="Q158" s="498" t="s">
        <v>140</v>
      </c>
    </row>
    <row r="159" spans="1:17" ht="12.75" customHeight="1">
      <c r="A159" s="491"/>
      <c r="B159" s="1009"/>
      <c r="C159" s="981"/>
      <c r="D159" s="982"/>
      <c r="E159" s="983"/>
      <c r="F159" s="987" t="s">
        <v>236</v>
      </c>
      <c r="G159" s="988"/>
      <c r="H159" s="988"/>
      <c r="I159" s="989"/>
      <c r="J159" s="863" t="s">
        <v>231</v>
      </c>
      <c r="K159" s="975" t="s">
        <v>232</v>
      </c>
      <c r="L159" s="976"/>
      <c r="M159" s="496" t="s">
        <v>140</v>
      </c>
      <c r="N159" s="977">
        <v>93.97</v>
      </c>
      <c r="O159" s="961"/>
      <c r="P159" s="499">
        <v>93.97</v>
      </c>
      <c r="Q159" s="499">
        <v>103.37</v>
      </c>
    </row>
    <row r="160" spans="1:17" ht="12.75" customHeight="1">
      <c r="A160" s="491"/>
      <c r="B160" s="1009"/>
      <c r="C160" s="981"/>
      <c r="D160" s="982"/>
      <c r="E160" s="983"/>
      <c r="F160" s="993"/>
      <c r="G160" s="994"/>
      <c r="H160" s="994"/>
      <c r="I160" s="995"/>
      <c r="J160" s="863" t="s">
        <v>158</v>
      </c>
      <c r="K160" s="975" t="s">
        <v>159</v>
      </c>
      <c r="L160" s="976"/>
      <c r="M160" s="496" t="s">
        <v>140</v>
      </c>
      <c r="N160" s="977">
        <v>94.5</v>
      </c>
      <c r="O160" s="961"/>
      <c r="P160" s="499">
        <v>94.5</v>
      </c>
      <c r="Q160" s="499">
        <v>103.95</v>
      </c>
    </row>
    <row r="161" spans="1:17" ht="12.75" customHeight="1">
      <c r="A161" s="491"/>
      <c r="B161" s="1009"/>
      <c r="C161" s="981"/>
      <c r="D161" s="982"/>
      <c r="E161" s="983"/>
      <c r="F161" s="990"/>
      <c r="G161" s="991"/>
      <c r="H161" s="991"/>
      <c r="I161" s="992"/>
      <c r="J161" s="867" t="s">
        <v>141</v>
      </c>
      <c r="K161" s="958" t="s">
        <v>140</v>
      </c>
      <c r="L161" s="959"/>
      <c r="M161" s="500" t="s">
        <v>140</v>
      </c>
      <c r="N161" s="960" t="s">
        <v>140</v>
      </c>
      <c r="O161" s="961"/>
      <c r="P161" s="498" t="s">
        <v>140</v>
      </c>
      <c r="Q161" s="498" t="s">
        <v>140</v>
      </c>
    </row>
    <row r="162" spans="1:17" ht="12.75" customHeight="1">
      <c r="A162" s="491"/>
      <c r="B162" s="1009"/>
      <c r="C162" s="981"/>
      <c r="D162" s="982"/>
      <c r="E162" s="983"/>
      <c r="F162" s="987" t="s">
        <v>237</v>
      </c>
      <c r="G162" s="988"/>
      <c r="H162" s="988"/>
      <c r="I162" s="989"/>
      <c r="J162" s="863" t="s">
        <v>162</v>
      </c>
      <c r="K162" s="975" t="s">
        <v>163</v>
      </c>
      <c r="L162" s="976"/>
      <c r="M162" s="496" t="s">
        <v>140</v>
      </c>
      <c r="N162" s="977">
        <v>27.3</v>
      </c>
      <c r="O162" s="961"/>
      <c r="P162" s="499">
        <v>27.3</v>
      </c>
      <c r="Q162" s="499">
        <v>37</v>
      </c>
    </row>
    <row r="163" spans="1:17" ht="12.75" customHeight="1">
      <c r="A163" s="491"/>
      <c r="B163" s="1009"/>
      <c r="C163" s="981"/>
      <c r="D163" s="982"/>
      <c r="E163" s="983"/>
      <c r="F163" s="993"/>
      <c r="G163" s="994"/>
      <c r="H163" s="994"/>
      <c r="I163" s="995"/>
      <c r="J163" s="863" t="s">
        <v>164</v>
      </c>
      <c r="K163" s="975" t="s">
        <v>165</v>
      </c>
      <c r="L163" s="976"/>
      <c r="M163" s="496" t="s">
        <v>140</v>
      </c>
      <c r="N163" s="977">
        <v>27.3</v>
      </c>
      <c r="O163" s="961"/>
      <c r="P163" s="499">
        <v>27.3</v>
      </c>
      <c r="Q163" s="499">
        <v>37</v>
      </c>
    </row>
    <row r="164" spans="1:17" ht="12.75" customHeight="1">
      <c r="A164" s="491"/>
      <c r="B164" s="1009"/>
      <c r="C164" s="981"/>
      <c r="D164" s="982"/>
      <c r="E164" s="983"/>
      <c r="F164" s="993"/>
      <c r="G164" s="994"/>
      <c r="H164" s="994"/>
      <c r="I164" s="995"/>
      <c r="J164" s="863" t="s">
        <v>166</v>
      </c>
      <c r="K164" s="975" t="s">
        <v>167</v>
      </c>
      <c r="L164" s="976"/>
      <c r="M164" s="496" t="s">
        <v>140</v>
      </c>
      <c r="N164" s="977">
        <v>29.92</v>
      </c>
      <c r="O164" s="961"/>
      <c r="P164" s="499">
        <v>29.92</v>
      </c>
      <c r="Q164" s="499">
        <v>39</v>
      </c>
    </row>
    <row r="165" spans="1:17" ht="12.75" customHeight="1">
      <c r="A165" s="491"/>
      <c r="B165" s="1009"/>
      <c r="C165" s="981"/>
      <c r="D165" s="982"/>
      <c r="E165" s="983"/>
      <c r="F165" s="993"/>
      <c r="G165" s="994"/>
      <c r="H165" s="994"/>
      <c r="I165" s="995"/>
      <c r="J165" s="863" t="s">
        <v>168</v>
      </c>
      <c r="K165" s="975" t="s">
        <v>169</v>
      </c>
      <c r="L165" s="976"/>
      <c r="M165" s="496" t="s">
        <v>140</v>
      </c>
      <c r="N165" s="977">
        <v>29.92</v>
      </c>
      <c r="O165" s="961"/>
      <c r="P165" s="499">
        <v>29.92</v>
      </c>
      <c r="Q165" s="499">
        <v>39</v>
      </c>
    </row>
    <row r="166" spans="1:17" ht="12.75" customHeight="1">
      <c r="A166" s="491"/>
      <c r="B166" s="1009"/>
      <c r="C166" s="981"/>
      <c r="D166" s="982"/>
      <c r="E166" s="983"/>
      <c r="F166" s="990"/>
      <c r="G166" s="991"/>
      <c r="H166" s="991"/>
      <c r="I166" s="992"/>
      <c r="J166" s="867" t="s">
        <v>141</v>
      </c>
      <c r="K166" s="958" t="s">
        <v>140</v>
      </c>
      <c r="L166" s="959"/>
      <c r="M166" s="500" t="s">
        <v>140</v>
      </c>
      <c r="N166" s="960" t="s">
        <v>140</v>
      </c>
      <c r="O166" s="961"/>
      <c r="P166" s="498" t="s">
        <v>140</v>
      </c>
      <c r="Q166" s="498" t="s">
        <v>140</v>
      </c>
    </row>
    <row r="167" spans="1:17" ht="12.75" customHeight="1">
      <c r="A167" s="491"/>
      <c r="B167" s="1009"/>
      <c r="C167" s="981"/>
      <c r="D167" s="982"/>
      <c r="E167" s="983"/>
      <c r="F167" s="987" t="s">
        <v>238</v>
      </c>
      <c r="G167" s="988"/>
      <c r="H167" s="988"/>
      <c r="I167" s="989"/>
      <c r="J167" s="863" t="s">
        <v>162</v>
      </c>
      <c r="K167" s="975" t="s">
        <v>163</v>
      </c>
      <c r="L167" s="976"/>
      <c r="M167" s="496" t="s">
        <v>140</v>
      </c>
      <c r="N167" s="977">
        <v>27.3</v>
      </c>
      <c r="O167" s="961"/>
      <c r="P167" s="499">
        <v>27.3</v>
      </c>
      <c r="Q167" s="499">
        <v>33</v>
      </c>
    </row>
    <row r="168" spans="1:17" ht="12.75" customHeight="1">
      <c r="A168" s="491"/>
      <c r="B168" s="1009"/>
      <c r="C168" s="981"/>
      <c r="D168" s="982"/>
      <c r="E168" s="983"/>
      <c r="F168" s="993"/>
      <c r="G168" s="994"/>
      <c r="H168" s="994"/>
      <c r="I168" s="995"/>
      <c r="J168" s="863" t="s">
        <v>164</v>
      </c>
      <c r="K168" s="975" t="s">
        <v>165</v>
      </c>
      <c r="L168" s="976"/>
      <c r="M168" s="496" t="s">
        <v>140</v>
      </c>
      <c r="N168" s="977">
        <v>27.3</v>
      </c>
      <c r="O168" s="961"/>
      <c r="P168" s="499">
        <v>27.3</v>
      </c>
      <c r="Q168" s="499">
        <v>33</v>
      </c>
    </row>
    <row r="169" spans="1:17" ht="12.75" customHeight="1">
      <c r="A169" s="491"/>
      <c r="B169" s="1009"/>
      <c r="C169" s="981"/>
      <c r="D169" s="982"/>
      <c r="E169" s="983"/>
      <c r="F169" s="993"/>
      <c r="G169" s="994"/>
      <c r="H169" s="994"/>
      <c r="I169" s="995"/>
      <c r="J169" s="863" t="s">
        <v>166</v>
      </c>
      <c r="K169" s="975" t="s">
        <v>167</v>
      </c>
      <c r="L169" s="976"/>
      <c r="M169" s="496" t="s">
        <v>140</v>
      </c>
      <c r="N169" s="977">
        <v>29.7</v>
      </c>
      <c r="O169" s="961"/>
      <c r="P169" s="499">
        <v>29.7</v>
      </c>
      <c r="Q169" s="499">
        <v>33</v>
      </c>
    </row>
    <row r="170" spans="1:17" ht="12.75" customHeight="1">
      <c r="A170" s="491"/>
      <c r="B170" s="1009"/>
      <c r="C170" s="981"/>
      <c r="D170" s="982"/>
      <c r="E170" s="983"/>
      <c r="F170" s="993"/>
      <c r="G170" s="994"/>
      <c r="H170" s="994"/>
      <c r="I170" s="995"/>
      <c r="J170" s="863" t="s">
        <v>168</v>
      </c>
      <c r="K170" s="975" t="s">
        <v>169</v>
      </c>
      <c r="L170" s="976"/>
      <c r="M170" s="496" t="s">
        <v>140</v>
      </c>
      <c r="N170" s="977">
        <v>29.7</v>
      </c>
      <c r="O170" s="961"/>
      <c r="P170" s="499">
        <v>29.7</v>
      </c>
      <c r="Q170" s="499">
        <v>33</v>
      </c>
    </row>
    <row r="171" spans="1:17" ht="12.75" customHeight="1">
      <c r="A171" s="491"/>
      <c r="B171" s="1009"/>
      <c r="C171" s="981"/>
      <c r="D171" s="982"/>
      <c r="E171" s="983"/>
      <c r="F171" s="990"/>
      <c r="G171" s="991"/>
      <c r="H171" s="991"/>
      <c r="I171" s="992"/>
      <c r="J171" s="867" t="s">
        <v>141</v>
      </c>
      <c r="K171" s="958" t="s">
        <v>140</v>
      </c>
      <c r="L171" s="959"/>
      <c r="M171" s="500" t="s">
        <v>140</v>
      </c>
      <c r="N171" s="960" t="s">
        <v>140</v>
      </c>
      <c r="O171" s="961"/>
      <c r="P171" s="498" t="s">
        <v>140</v>
      </c>
      <c r="Q171" s="498" t="s">
        <v>140</v>
      </c>
    </row>
    <row r="172" spans="1:17" ht="12.75" customHeight="1">
      <c r="A172" s="491"/>
      <c r="B172" s="1009"/>
      <c r="C172" s="981"/>
      <c r="D172" s="982"/>
      <c r="E172" s="983"/>
      <c r="F172" s="987" t="s">
        <v>239</v>
      </c>
      <c r="G172" s="988"/>
      <c r="H172" s="988"/>
      <c r="I172" s="989"/>
      <c r="J172" s="863" t="s">
        <v>162</v>
      </c>
      <c r="K172" s="975" t="s">
        <v>163</v>
      </c>
      <c r="L172" s="976"/>
      <c r="M172" s="496" t="s">
        <v>140</v>
      </c>
      <c r="N172" s="977">
        <v>27.3</v>
      </c>
      <c r="O172" s="961"/>
      <c r="P172" s="499">
        <v>27.3</v>
      </c>
      <c r="Q172" s="499">
        <v>31.11</v>
      </c>
    </row>
    <row r="173" spans="1:17" ht="12.75" customHeight="1">
      <c r="A173" s="491"/>
      <c r="B173" s="1009"/>
      <c r="C173" s="981"/>
      <c r="D173" s="982"/>
      <c r="E173" s="983"/>
      <c r="F173" s="993"/>
      <c r="G173" s="994"/>
      <c r="H173" s="994"/>
      <c r="I173" s="995"/>
      <c r="J173" s="863" t="s">
        <v>164</v>
      </c>
      <c r="K173" s="975" t="s">
        <v>165</v>
      </c>
      <c r="L173" s="976"/>
      <c r="M173" s="496" t="s">
        <v>140</v>
      </c>
      <c r="N173" s="977">
        <v>27.3</v>
      </c>
      <c r="O173" s="961"/>
      <c r="P173" s="499">
        <v>27.3</v>
      </c>
      <c r="Q173" s="499">
        <v>31.11</v>
      </c>
    </row>
    <row r="174" spans="1:17" ht="12.75" customHeight="1">
      <c r="A174" s="491"/>
      <c r="B174" s="1009"/>
      <c r="C174" s="981"/>
      <c r="D174" s="982"/>
      <c r="E174" s="983"/>
      <c r="F174" s="993"/>
      <c r="G174" s="994"/>
      <c r="H174" s="994"/>
      <c r="I174" s="995"/>
      <c r="J174" s="863" t="s">
        <v>166</v>
      </c>
      <c r="K174" s="975" t="s">
        <v>167</v>
      </c>
      <c r="L174" s="976"/>
      <c r="M174" s="496" t="s">
        <v>140</v>
      </c>
      <c r="N174" s="977">
        <v>28</v>
      </c>
      <c r="O174" s="961"/>
      <c r="P174" s="499">
        <v>28</v>
      </c>
      <c r="Q174" s="499">
        <v>31.11</v>
      </c>
    </row>
    <row r="175" spans="1:17" ht="12.75" customHeight="1">
      <c r="A175" s="491"/>
      <c r="B175" s="1009"/>
      <c r="C175" s="981"/>
      <c r="D175" s="982"/>
      <c r="E175" s="983"/>
      <c r="F175" s="993"/>
      <c r="G175" s="994"/>
      <c r="H175" s="994"/>
      <c r="I175" s="995"/>
      <c r="J175" s="863" t="s">
        <v>168</v>
      </c>
      <c r="K175" s="975" t="s">
        <v>169</v>
      </c>
      <c r="L175" s="976"/>
      <c r="M175" s="496" t="s">
        <v>140</v>
      </c>
      <c r="N175" s="977">
        <v>28</v>
      </c>
      <c r="O175" s="961"/>
      <c r="P175" s="499">
        <v>28</v>
      </c>
      <c r="Q175" s="499">
        <v>31.11</v>
      </c>
    </row>
    <row r="176" spans="1:17" ht="12.75" customHeight="1">
      <c r="A176" s="491"/>
      <c r="B176" s="1009"/>
      <c r="C176" s="981"/>
      <c r="D176" s="982"/>
      <c r="E176" s="983"/>
      <c r="F176" s="990"/>
      <c r="G176" s="991"/>
      <c r="H176" s="991"/>
      <c r="I176" s="992"/>
      <c r="J176" s="867" t="s">
        <v>141</v>
      </c>
      <c r="K176" s="958" t="s">
        <v>140</v>
      </c>
      <c r="L176" s="959"/>
      <c r="M176" s="500" t="s">
        <v>140</v>
      </c>
      <c r="N176" s="960" t="s">
        <v>140</v>
      </c>
      <c r="O176" s="961"/>
      <c r="P176" s="498" t="s">
        <v>140</v>
      </c>
      <c r="Q176" s="498" t="s">
        <v>140</v>
      </c>
    </row>
    <row r="177" spans="1:17" ht="12.75" customHeight="1">
      <c r="A177" s="491"/>
      <c r="B177" s="1009"/>
      <c r="C177" s="981"/>
      <c r="D177" s="982"/>
      <c r="E177" s="983"/>
      <c r="F177" s="987" t="s">
        <v>240</v>
      </c>
      <c r="G177" s="988"/>
      <c r="H177" s="988"/>
      <c r="I177" s="989"/>
      <c r="J177" s="863" t="s">
        <v>162</v>
      </c>
      <c r="K177" s="975" t="s">
        <v>163</v>
      </c>
      <c r="L177" s="976"/>
      <c r="M177" s="496" t="s">
        <v>140</v>
      </c>
      <c r="N177" s="977">
        <v>25.65</v>
      </c>
      <c r="O177" s="961"/>
      <c r="P177" s="499">
        <v>25.65</v>
      </c>
      <c r="Q177" s="499">
        <v>28.5</v>
      </c>
    </row>
    <row r="178" spans="1:17" ht="12.75" customHeight="1">
      <c r="A178" s="491"/>
      <c r="B178" s="1009"/>
      <c r="C178" s="981"/>
      <c r="D178" s="982"/>
      <c r="E178" s="983"/>
      <c r="F178" s="993"/>
      <c r="G178" s="994"/>
      <c r="H178" s="994"/>
      <c r="I178" s="995"/>
      <c r="J178" s="863" t="s">
        <v>164</v>
      </c>
      <c r="K178" s="975" t="s">
        <v>165</v>
      </c>
      <c r="L178" s="976"/>
      <c r="M178" s="496" t="s">
        <v>140</v>
      </c>
      <c r="N178" s="977">
        <v>25.65</v>
      </c>
      <c r="O178" s="961"/>
      <c r="P178" s="499">
        <v>25.65</v>
      </c>
      <c r="Q178" s="499">
        <v>28.5</v>
      </c>
    </row>
    <row r="179" spans="1:17" ht="12.75" customHeight="1">
      <c r="A179" s="491"/>
      <c r="B179" s="1009"/>
      <c r="C179" s="981"/>
      <c r="D179" s="982"/>
      <c r="E179" s="983"/>
      <c r="F179" s="993"/>
      <c r="G179" s="994"/>
      <c r="H179" s="994"/>
      <c r="I179" s="995"/>
      <c r="J179" s="863" t="s">
        <v>178</v>
      </c>
      <c r="K179" s="975" t="s">
        <v>179</v>
      </c>
      <c r="L179" s="976"/>
      <c r="M179" s="496" t="s">
        <v>140</v>
      </c>
      <c r="N179" s="977">
        <v>56.7</v>
      </c>
      <c r="O179" s="961"/>
      <c r="P179" s="499">
        <v>56.7</v>
      </c>
      <c r="Q179" s="499">
        <v>75</v>
      </c>
    </row>
    <row r="180" spans="1:17" ht="12.75" customHeight="1">
      <c r="A180" s="491"/>
      <c r="B180" s="1009"/>
      <c r="C180" s="981"/>
      <c r="D180" s="982"/>
      <c r="E180" s="983"/>
      <c r="F180" s="993"/>
      <c r="G180" s="994"/>
      <c r="H180" s="994"/>
      <c r="I180" s="995"/>
      <c r="J180" s="863" t="s">
        <v>166</v>
      </c>
      <c r="K180" s="975" t="s">
        <v>167</v>
      </c>
      <c r="L180" s="976"/>
      <c r="M180" s="496" t="s">
        <v>140</v>
      </c>
      <c r="N180" s="977">
        <v>27.58</v>
      </c>
      <c r="O180" s="961"/>
      <c r="P180" s="499">
        <v>27.58</v>
      </c>
      <c r="Q180" s="499">
        <v>30.7</v>
      </c>
    </row>
    <row r="181" spans="1:17" ht="12.75" customHeight="1">
      <c r="A181" s="491"/>
      <c r="B181" s="1009"/>
      <c r="C181" s="981"/>
      <c r="D181" s="982"/>
      <c r="E181" s="983"/>
      <c r="F181" s="993"/>
      <c r="G181" s="994"/>
      <c r="H181" s="994"/>
      <c r="I181" s="995"/>
      <c r="J181" s="863" t="s">
        <v>168</v>
      </c>
      <c r="K181" s="975" t="s">
        <v>169</v>
      </c>
      <c r="L181" s="976"/>
      <c r="M181" s="496" t="s">
        <v>140</v>
      </c>
      <c r="N181" s="977">
        <v>27.58</v>
      </c>
      <c r="O181" s="961"/>
      <c r="P181" s="499">
        <v>27.58</v>
      </c>
      <c r="Q181" s="499">
        <v>31</v>
      </c>
    </row>
    <row r="182" spans="1:17" ht="12.75" customHeight="1">
      <c r="A182" s="491"/>
      <c r="B182" s="1009"/>
      <c r="C182" s="981"/>
      <c r="D182" s="982"/>
      <c r="E182" s="983"/>
      <c r="F182" s="990"/>
      <c r="G182" s="991"/>
      <c r="H182" s="991"/>
      <c r="I182" s="992"/>
      <c r="J182" s="867" t="s">
        <v>141</v>
      </c>
      <c r="K182" s="958" t="s">
        <v>140</v>
      </c>
      <c r="L182" s="959"/>
      <c r="M182" s="500" t="s">
        <v>140</v>
      </c>
      <c r="N182" s="960" t="s">
        <v>140</v>
      </c>
      <c r="O182" s="961"/>
      <c r="P182" s="498" t="s">
        <v>140</v>
      </c>
      <c r="Q182" s="498" t="s">
        <v>140</v>
      </c>
    </row>
    <row r="183" spans="1:17" ht="12.75" customHeight="1">
      <c r="A183" s="491"/>
      <c r="B183" s="1009"/>
      <c r="C183" s="981"/>
      <c r="D183" s="982"/>
      <c r="E183" s="983"/>
      <c r="F183" s="987" t="s">
        <v>241</v>
      </c>
      <c r="G183" s="988"/>
      <c r="H183" s="988"/>
      <c r="I183" s="989"/>
      <c r="J183" s="863" t="s">
        <v>162</v>
      </c>
      <c r="K183" s="975" t="s">
        <v>163</v>
      </c>
      <c r="L183" s="976"/>
      <c r="M183" s="496" t="s">
        <v>140</v>
      </c>
      <c r="N183" s="977">
        <v>27</v>
      </c>
      <c r="O183" s="961"/>
      <c r="P183" s="499">
        <v>27</v>
      </c>
      <c r="Q183" s="499">
        <v>30</v>
      </c>
    </row>
    <row r="184" spans="1:17" ht="12.75" customHeight="1">
      <c r="A184" s="491"/>
      <c r="B184" s="1009"/>
      <c r="C184" s="981"/>
      <c r="D184" s="982"/>
      <c r="E184" s="983"/>
      <c r="F184" s="993"/>
      <c r="G184" s="994"/>
      <c r="H184" s="994"/>
      <c r="I184" s="995"/>
      <c r="J184" s="863" t="s">
        <v>164</v>
      </c>
      <c r="K184" s="975" t="s">
        <v>165</v>
      </c>
      <c r="L184" s="976"/>
      <c r="M184" s="496" t="s">
        <v>140</v>
      </c>
      <c r="N184" s="977">
        <v>27</v>
      </c>
      <c r="O184" s="961"/>
      <c r="P184" s="499">
        <v>27</v>
      </c>
      <c r="Q184" s="499">
        <v>30</v>
      </c>
    </row>
    <row r="185" spans="1:17" ht="12.75" customHeight="1">
      <c r="A185" s="491"/>
      <c r="B185" s="1009"/>
      <c r="C185" s="981"/>
      <c r="D185" s="982"/>
      <c r="E185" s="983"/>
      <c r="F185" s="993"/>
      <c r="G185" s="994"/>
      <c r="H185" s="994"/>
      <c r="I185" s="995"/>
      <c r="J185" s="863" t="s">
        <v>166</v>
      </c>
      <c r="K185" s="975" t="s">
        <v>167</v>
      </c>
      <c r="L185" s="976"/>
      <c r="M185" s="496" t="s">
        <v>140</v>
      </c>
      <c r="N185" s="977">
        <v>29.92</v>
      </c>
      <c r="O185" s="961"/>
      <c r="P185" s="499">
        <v>29.92</v>
      </c>
      <c r="Q185" s="499">
        <v>35</v>
      </c>
    </row>
    <row r="186" spans="1:17" ht="12.75" customHeight="1">
      <c r="A186" s="491"/>
      <c r="B186" s="1009"/>
      <c r="C186" s="981"/>
      <c r="D186" s="982"/>
      <c r="E186" s="983"/>
      <c r="F186" s="993"/>
      <c r="G186" s="994"/>
      <c r="H186" s="994"/>
      <c r="I186" s="995"/>
      <c r="J186" s="863" t="s">
        <v>168</v>
      </c>
      <c r="K186" s="975" t="s">
        <v>169</v>
      </c>
      <c r="L186" s="976"/>
      <c r="M186" s="496" t="s">
        <v>140</v>
      </c>
      <c r="N186" s="977">
        <v>29.92</v>
      </c>
      <c r="O186" s="961"/>
      <c r="P186" s="499">
        <v>29.92</v>
      </c>
      <c r="Q186" s="499">
        <v>35</v>
      </c>
    </row>
    <row r="187" spans="1:17" ht="12.75" customHeight="1">
      <c r="A187" s="491"/>
      <c r="B187" s="1009"/>
      <c r="C187" s="981"/>
      <c r="D187" s="982"/>
      <c r="E187" s="983"/>
      <c r="F187" s="990"/>
      <c r="G187" s="991"/>
      <c r="H187" s="991"/>
      <c r="I187" s="992"/>
      <c r="J187" s="867" t="s">
        <v>141</v>
      </c>
      <c r="K187" s="958" t="s">
        <v>140</v>
      </c>
      <c r="L187" s="959"/>
      <c r="M187" s="500" t="s">
        <v>140</v>
      </c>
      <c r="N187" s="960" t="s">
        <v>140</v>
      </c>
      <c r="O187" s="961"/>
      <c r="P187" s="498" t="s">
        <v>140</v>
      </c>
      <c r="Q187" s="498" t="s">
        <v>140</v>
      </c>
    </row>
    <row r="188" spans="1:17" ht="12.75" customHeight="1">
      <c r="A188" s="491"/>
      <c r="B188" s="1009"/>
      <c r="C188" s="981"/>
      <c r="D188" s="982"/>
      <c r="E188" s="983"/>
      <c r="F188" s="987" t="s">
        <v>242</v>
      </c>
      <c r="G188" s="988"/>
      <c r="H188" s="988"/>
      <c r="I188" s="989"/>
      <c r="J188" s="863" t="s">
        <v>206</v>
      </c>
      <c r="K188" s="975" t="s">
        <v>207</v>
      </c>
      <c r="L188" s="976"/>
      <c r="M188" s="496" t="s">
        <v>140</v>
      </c>
      <c r="N188" s="977">
        <v>134.63999999999999</v>
      </c>
      <c r="O188" s="961"/>
      <c r="P188" s="499">
        <v>134.63999999999999</v>
      </c>
      <c r="Q188" s="499">
        <v>160</v>
      </c>
    </row>
    <row r="189" spans="1:17" ht="12.75" customHeight="1">
      <c r="A189" s="491"/>
      <c r="B189" s="1009"/>
      <c r="C189" s="981"/>
      <c r="D189" s="982"/>
      <c r="E189" s="983"/>
      <c r="F189" s="993"/>
      <c r="G189" s="994"/>
      <c r="H189" s="994"/>
      <c r="I189" s="995"/>
      <c r="J189" s="863" t="s">
        <v>208</v>
      </c>
      <c r="K189" s="975" t="s">
        <v>209</v>
      </c>
      <c r="L189" s="976"/>
      <c r="M189" s="496" t="s">
        <v>140</v>
      </c>
      <c r="N189" s="977">
        <v>16.829999999999998</v>
      </c>
      <c r="O189" s="961"/>
      <c r="P189" s="499">
        <v>16.829999999999998</v>
      </c>
      <c r="Q189" s="499">
        <v>20</v>
      </c>
    </row>
    <row r="190" spans="1:17" ht="12.75" customHeight="1">
      <c r="A190" s="491"/>
      <c r="B190" s="1009"/>
      <c r="C190" s="981"/>
      <c r="D190" s="982"/>
      <c r="E190" s="983"/>
      <c r="F190" s="990"/>
      <c r="G190" s="991"/>
      <c r="H190" s="991"/>
      <c r="I190" s="992"/>
      <c r="J190" s="867" t="s">
        <v>141</v>
      </c>
      <c r="K190" s="958" t="s">
        <v>140</v>
      </c>
      <c r="L190" s="959"/>
      <c r="M190" s="500" t="s">
        <v>140</v>
      </c>
      <c r="N190" s="960" t="s">
        <v>140</v>
      </c>
      <c r="O190" s="961"/>
      <c r="P190" s="498" t="s">
        <v>140</v>
      </c>
      <c r="Q190" s="498" t="s">
        <v>140</v>
      </c>
    </row>
    <row r="191" spans="1:17" ht="12.75" customHeight="1">
      <c r="A191" s="491"/>
      <c r="B191" s="1009"/>
      <c r="C191" s="981"/>
      <c r="D191" s="982"/>
      <c r="E191" s="983"/>
      <c r="F191" s="987" t="s">
        <v>243</v>
      </c>
      <c r="G191" s="988"/>
      <c r="H191" s="988"/>
      <c r="I191" s="989"/>
      <c r="J191" s="863" t="s">
        <v>231</v>
      </c>
      <c r="K191" s="975" t="s">
        <v>232</v>
      </c>
      <c r="L191" s="976"/>
      <c r="M191" s="496" t="s">
        <v>140</v>
      </c>
      <c r="N191" s="977">
        <v>85.33</v>
      </c>
      <c r="O191" s="961"/>
      <c r="P191" s="499">
        <v>85.33</v>
      </c>
      <c r="Q191" s="499">
        <v>95</v>
      </c>
    </row>
    <row r="192" spans="1:17" ht="12.75" customHeight="1">
      <c r="A192" s="491"/>
      <c r="B192" s="1009"/>
      <c r="C192" s="981"/>
      <c r="D192" s="982"/>
      <c r="E192" s="983"/>
      <c r="F192" s="993"/>
      <c r="G192" s="994"/>
      <c r="H192" s="994"/>
      <c r="I192" s="995"/>
      <c r="J192" s="863" t="s">
        <v>158</v>
      </c>
      <c r="K192" s="975" t="s">
        <v>159</v>
      </c>
      <c r="L192" s="976"/>
      <c r="M192" s="496" t="s">
        <v>140</v>
      </c>
      <c r="N192" s="977">
        <v>86.1</v>
      </c>
      <c r="O192" s="961"/>
      <c r="P192" s="499">
        <v>86.1</v>
      </c>
      <c r="Q192" s="499">
        <v>95</v>
      </c>
    </row>
    <row r="193" spans="1:17" ht="12.75" customHeight="1">
      <c r="A193" s="491"/>
      <c r="B193" s="1009"/>
      <c r="C193" s="981"/>
      <c r="D193" s="982"/>
      <c r="E193" s="983"/>
      <c r="F193" s="990"/>
      <c r="G193" s="991"/>
      <c r="H193" s="991"/>
      <c r="I193" s="992"/>
      <c r="J193" s="867" t="s">
        <v>141</v>
      </c>
      <c r="K193" s="958" t="s">
        <v>140</v>
      </c>
      <c r="L193" s="959"/>
      <c r="M193" s="500" t="s">
        <v>140</v>
      </c>
      <c r="N193" s="960" t="s">
        <v>140</v>
      </c>
      <c r="O193" s="961"/>
      <c r="P193" s="498" t="s">
        <v>140</v>
      </c>
      <c r="Q193" s="498" t="s">
        <v>140</v>
      </c>
    </row>
    <row r="194" spans="1:17" ht="12.75" customHeight="1">
      <c r="A194" s="491"/>
      <c r="B194" s="1009"/>
      <c r="C194" s="981"/>
      <c r="D194" s="982"/>
      <c r="E194" s="983"/>
      <c r="F194" s="987" t="s">
        <v>244</v>
      </c>
      <c r="G194" s="988"/>
      <c r="H194" s="988"/>
      <c r="I194" s="989"/>
      <c r="J194" s="863" t="s">
        <v>162</v>
      </c>
      <c r="K194" s="975" t="s">
        <v>163</v>
      </c>
      <c r="L194" s="976"/>
      <c r="M194" s="496" t="s">
        <v>140</v>
      </c>
      <c r="N194" s="977">
        <v>26</v>
      </c>
      <c r="O194" s="961"/>
      <c r="P194" s="499">
        <v>26</v>
      </c>
      <c r="Q194" s="499">
        <v>26</v>
      </c>
    </row>
    <row r="195" spans="1:17" ht="12.75" customHeight="1">
      <c r="A195" s="491"/>
      <c r="B195" s="1009"/>
      <c r="C195" s="981"/>
      <c r="D195" s="982"/>
      <c r="E195" s="983"/>
      <c r="F195" s="993"/>
      <c r="G195" s="994"/>
      <c r="H195" s="994"/>
      <c r="I195" s="995"/>
      <c r="J195" s="863" t="s">
        <v>164</v>
      </c>
      <c r="K195" s="975" t="s">
        <v>165</v>
      </c>
      <c r="L195" s="976"/>
      <c r="M195" s="496" t="s">
        <v>140</v>
      </c>
      <c r="N195" s="977">
        <v>26</v>
      </c>
      <c r="O195" s="961"/>
      <c r="P195" s="499">
        <v>26</v>
      </c>
      <c r="Q195" s="499">
        <v>26</v>
      </c>
    </row>
    <row r="196" spans="1:17" ht="12.75" customHeight="1">
      <c r="A196" s="491"/>
      <c r="B196" s="1009"/>
      <c r="C196" s="981"/>
      <c r="D196" s="982"/>
      <c r="E196" s="983"/>
      <c r="F196" s="993"/>
      <c r="G196" s="994"/>
      <c r="H196" s="994"/>
      <c r="I196" s="995"/>
      <c r="J196" s="863" t="s">
        <v>178</v>
      </c>
      <c r="K196" s="975" t="s">
        <v>179</v>
      </c>
      <c r="L196" s="976"/>
      <c r="M196" s="496" t="s">
        <v>140</v>
      </c>
      <c r="N196" s="977">
        <v>62.47</v>
      </c>
      <c r="O196" s="961"/>
      <c r="P196" s="499">
        <v>62.47</v>
      </c>
      <c r="Q196" s="499">
        <v>62.47</v>
      </c>
    </row>
    <row r="197" spans="1:17" ht="12.75" customHeight="1">
      <c r="A197" s="491"/>
      <c r="B197" s="1009"/>
      <c r="C197" s="981"/>
      <c r="D197" s="982"/>
      <c r="E197" s="983"/>
      <c r="F197" s="993"/>
      <c r="G197" s="994"/>
      <c r="H197" s="994"/>
      <c r="I197" s="995"/>
      <c r="J197" s="863" t="s">
        <v>166</v>
      </c>
      <c r="K197" s="975" t="s">
        <v>167</v>
      </c>
      <c r="L197" s="976"/>
      <c r="M197" s="496" t="s">
        <v>140</v>
      </c>
      <c r="N197" s="977">
        <v>27</v>
      </c>
      <c r="O197" s="961"/>
      <c r="P197" s="499">
        <v>27</v>
      </c>
      <c r="Q197" s="499">
        <v>27</v>
      </c>
    </row>
    <row r="198" spans="1:17" ht="12.75" customHeight="1">
      <c r="A198" s="491"/>
      <c r="B198" s="1009"/>
      <c r="C198" s="981"/>
      <c r="D198" s="982"/>
      <c r="E198" s="983"/>
      <c r="F198" s="993"/>
      <c r="G198" s="994"/>
      <c r="H198" s="994"/>
      <c r="I198" s="995"/>
      <c r="J198" s="863" t="s">
        <v>168</v>
      </c>
      <c r="K198" s="975" t="s">
        <v>169</v>
      </c>
      <c r="L198" s="976"/>
      <c r="M198" s="496" t="s">
        <v>140</v>
      </c>
      <c r="N198" s="977">
        <v>27</v>
      </c>
      <c r="O198" s="961"/>
      <c r="P198" s="499">
        <v>27</v>
      </c>
      <c r="Q198" s="499">
        <v>27</v>
      </c>
    </row>
    <row r="199" spans="1:17" ht="12.75" customHeight="1">
      <c r="A199" s="491"/>
      <c r="B199" s="1009"/>
      <c r="C199" s="981"/>
      <c r="D199" s="982"/>
      <c r="E199" s="983"/>
      <c r="F199" s="990"/>
      <c r="G199" s="991"/>
      <c r="H199" s="991"/>
      <c r="I199" s="992"/>
      <c r="J199" s="867" t="s">
        <v>141</v>
      </c>
      <c r="K199" s="958" t="s">
        <v>140</v>
      </c>
      <c r="L199" s="959"/>
      <c r="M199" s="500" t="s">
        <v>140</v>
      </c>
      <c r="N199" s="960" t="s">
        <v>140</v>
      </c>
      <c r="O199" s="961"/>
      <c r="P199" s="498" t="s">
        <v>140</v>
      </c>
      <c r="Q199" s="498" t="s">
        <v>140</v>
      </c>
    </row>
    <row r="200" spans="1:17" ht="12.75" customHeight="1">
      <c r="A200" s="491"/>
      <c r="B200" s="1009"/>
      <c r="C200" s="981"/>
      <c r="D200" s="982"/>
      <c r="E200" s="983"/>
      <c r="F200" s="987" t="s">
        <v>245</v>
      </c>
      <c r="G200" s="988"/>
      <c r="H200" s="988"/>
      <c r="I200" s="989"/>
      <c r="J200" s="863" t="s">
        <v>162</v>
      </c>
      <c r="K200" s="975" t="s">
        <v>163</v>
      </c>
      <c r="L200" s="976"/>
      <c r="M200" s="496" t="s">
        <v>140</v>
      </c>
      <c r="N200" s="977">
        <v>27.3</v>
      </c>
      <c r="O200" s="961"/>
      <c r="P200" s="499">
        <v>27.3</v>
      </c>
      <c r="Q200" s="498" t="s">
        <v>140</v>
      </c>
    </row>
    <row r="201" spans="1:17" ht="12.75" customHeight="1">
      <c r="A201" s="491"/>
      <c r="B201" s="1009"/>
      <c r="C201" s="981"/>
      <c r="D201" s="982"/>
      <c r="E201" s="983"/>
      <c r="F201" s="993"/>
      <c r="G201" s="994"/>
      <c r="H201" s="994"/>
      <c r="I201" s="995"/>
      <c r="J201" s="863" t="s">
        <v>164</v>
      </c>
      <c r="K201" s="975" t="s">
        <v>165</v>
      </c>
      <c r="L201" s="976"/>
      <c r="M201" s="496" t="s">
        <v>140</v>
      </c>
      <c r="N201" s="977">
        <v>27.3</v>
      </c>
      <c r="O201" s="961"/>
      <c r="P201" s="499">
        <v>27.3</v>
      </c>
      <c r="Q201" s="499">
        <v>27.3</v>
      </c>
    </row>
    <row r="202" spans="1:17" ht="12.75" customHeight="1">
      <c r="A202" s="491"/>
      <c r="B202" s="1009"/>
      <c r="C202" s="981"/>
      <c r="D202" s="982"/>
      <c r="E202" s="983"/>
      <c r="F202" s="993"/>
      <c r="G202" s="994"/>
      <c r="H202" s="994"/>
      <c r="I202" s="995"/>
      <c r="J202" s="863" t="s">
        <v>166</v>
      </c>
      <c r="K202" s="975" t="s">
        <v>167</v>
      </c>
      <c r="L202" s="976"/>
      <c r="M202" s="496" t="s">
        <v>140</v>
      </c>
      <c r="N202" s="977">
        <v>29.92</v>
      </c>
      <c r="O202" s="961"/>
      <c r="P202" s="499">
        <v>29.92</v>
      </c>
      <c r="Q202" s="499">
        <v>29.92</v>
      </c>
    </row>
    <row r="203" spans="1:17" ht="12.75" customHeight="1">
      <c r="A203" s="491"/>
      <c r="B203" s="1009"/>
      <c r="C203" s="981"/>
      <c r="D203" s="982"/>
      <c r="E203" s="983"/>
      <c r="F203" s="993"/>
      <c r="G203" s="994"/>
      <c r="H203" s="994"/>
      <c r="I203" s="995"/>
      <c r="J203" s="863" t="s">
        <v>168</v>
      </c>
      <c r="K203" s="975" t="s">
        <v>169</v>
      </c>
      <c r="L203" s="976"/>
      <c r="M203" s="496" t="s">
        <v>140</v>
      </c>
      <c r="N203" s="977">
        <v>29.92</v>
      </c>
      <c r="O203" s="961"/>
      <c r="P203" s="499">
        <v>29.92</v>
      </c>
      <c r="Q203" s="499">
        <v>29.92</v>
      </c>
    </row>
    <row r="204" spans="1:17" ht="12.75" customHeight="1">
      <c r="A204" s="491"/>
      <c r="B204" s="1009"/>
      <c r="C204" s="981"/>
      <c r="D204" s="982"/>
      <c r="E204" s="983"/>
      <c r="F204" s="990"/>
      <c r="G204" s="991"/>
      <c r="H204" s="991"/>
      <c r="I204" s="992"/>
      <c r="J204" s="867" t="s">
        <v>141</v>
      </c>
      <c r="K204" s="958" t="s">
        <v>140</v>
      </c>
      <c r="L204" s="959"/>
      <c r="M204" s="500" t="s">
        <v>140</v>
      </c>
      <c r="N204" s="960" t="s">
        <v>140</v>
      </c>
      <c r="O204" s="961"/>
      <c r="P204" s="498" t="s">
        <v>140</v>
      </c>
      <c r="Q204" s="498" t="s">
        <v>140</v>
      </c>
    </row>
    <row r="205" spans="1:17" ht="12.75" customHeight="1">
      <c r="A205" s="491"/>
      <c r="B205" s="1009"/>
      <c r="C205" s="981"/>
      <c r="D205" s="982"/>
      <c r="E205" s="983"/>
      <c r="F205" s="987" t="s">
        <v>246</v>
      </c>
      <c r="G205" s="988"/>
      <c r="H205" s="988"/>
      <c r="I205" s="989"/>
      <c r="J205" s="863" t="s">
        <v>213</v>
      </c>
      <c r="K205" s="975" t="s">
        <v>214</v>
      </c>
      <c r="L205" s="976"/>
      <c r="M205" s="496" t="s">
        <v>140</v>
      </c>
      <c r="N205" s="977">
        <v>0</v>
      </c>
      <c r="O205" s="961"/>
      <c r="P205" s="499">
        <v>0</v>
      </c>
      <c r="Q205" s="498" t="s">
        <v>140</v>
      </c>
    </row>
    <row r="206" spans="1:17" ht="12.75" customHeight="1">
      <c r="A206" s="491"/>
      <c r="B206" s="1009"/>
      <c r="C206" s="981"/>
      <c r="D206" s="982"/>
      <c r="E206" s="983"/>
      <c r="F206" s="993"/>
      <c r="G206" s="994"/>
      <c r="H206" s="994"/>
      <c r="I206" s="995"/>
      <c r="J206" s="863" t="s">
        <v>215</v>
      </c>
      <c r="K206" s="975" t="s">
        <v>216</v>
      </c>
      <c r="L206" s="976"/>
      <c r="M206" s="496" t="s">
        <v>140</v>
      </c>
      <c r="N206" s="977">
        <v>0</v>
      </c>
      <c r="O206" s="961"/>
      <c r="P206" s="499">
        <v>0</v>
      </c>
      <c r="Q206" s="498" t="s">
        <v>140</v>
      </c>
    </row>
    <row r="207" spans="1:17" ht="12.75" customHeight="1">
      <c r="A207" s="491"/>
      <c r="B207" s="1009"/>
      <c r="C207" s="981"/>
      <c r="D207" s="982"/>
      <c r="E207" s="983"/>
      <c r="F207" s="993"/>
      <c r="G207" s="994"/>
      <c r="H207" s="994"/>
      <c r="I207" s="995"/>
      <c r="J207" s="863" t="s">
        <v>144</v>
      </c>
      <c r="K207" s="975" t="s">
        <v>145</v>
      </c>
      <c r="L207" s="976"/>
      <c r="M207" s="496" t="s">
        <v>140</v>
      </c>
      <c r="N207" s="977">
        <v>0</v>
      </c>
      <c r="O207" s="961"/>
      <c r="P207" s="499">
        <v>0</v>
      </c>
      <c r="Q207" s="498" t="s">
        <v>140</v>
      </c>
    </row>
    <row r="208" spans="1:17" ht="12.75" customHeight="1">
      <c r="A208" s="491"/>
      <c r="B208" s="1009"/>
      <c r="C208" s="981"/>
      <c r="D208" s="982"/>
      <c r="E208" s="983"/>
      <c r="F208" s="990"/>
      <c r="G208" s="991"/>
      <c r="H208" s="991"/>
      <c r="I208" s="992"/>
      <c r="J208" s="867" t="s">
        <v>141</v>
      </c>
      <c r="K208" s="958" t="s">
        <v>140</v>
      </c>
      <c r="L208" s="959"/>
      <c r="M208" s="500" t="s">
        <v>140</v>
      </c>
      <c r="N208" s="960" t="s">
        <v>140</v>
      </c>
      <c r="O208" s="961"/>
      <c r="P208" s="498" t="s">
        <v>140</v>
      </c>
      <c r="Q208" s="498" t="s">
        <v>140</v>
      </c>
    </row>
    <row r="209" spans="1:17" ht="12.75" customHeight="1">
      <c r="A209" s="491"/>
      <c r="B209" s="1009"/>
      <c r="C209" s="984"/>
      <c r="D209" s="985"/>
      <c r="E209" s="986"/>
      <c r="F209" s="962" t="s">
        <v>140</v>
      </c>
      <c r="G209" s="958"/>
      <c r="H209" s="958"/>
      <c r="I209" s="959"/>
      <c r="J209" s="867" t="s">
        <v>247</v>
      </c>
      <c r="K209" s="958" t="s">
        <v>140</v>
      </c>
      <c r="L209" s="959"/>
      <c r="M209" s="501">
        <v>2279775.0499999998</v>
      </c>
      <c r="N209" s="960" t="s">
        <v>140</v>
      </c>
      <c r="O209" s="961"/>
      <c r="P209" s="498" t="s">
        <v>140</v>
      </c>
      <c r="Q209" s="498" t="s">
        <v>140</v>
      </c>
    </row>
    <row r="210" spans="1:17" ht="12.75" customHeight="1">
      <c r="A210" s="491"/>
      <c r="B210" s="1009"/>
      <c r="C210" s="978" t="s">
        <v>248</v>
      </c>
      <c r="D210" s="979"/>
      <c r="E210" s="980"/>
      <c r="F210" s="987" t="s">
        <v>249</v>
      </c>
      <c r="G210" s="988"/>
      <c r="H210" s="988"/>
      <c r="I210" s="989"/>
      <c r="J210" s="863" t="s">
        <v>138</v>
      </c>
      <c r="K210" s="975" t="s">
        <v>139</v>
      </c>
      <c r="L210" s="976"/>
      <c r="M210" s="496" t="s">
        <v>140</v>
      </c>
      <c r="N210" s="977">
        <v>0.97</v>
      </c>
      <c r="O210" s="961"/>
      <c r="P210" s="499">
        <v>0.97</v>
      </c>
      <c r="Q210" s="499">
        <v>1.27</v>
      </c>
    </row>
    <row r="211" spans="1:17" ht="12.75" customHeight="1">
      <c r="A211" s="491"/>
      <c r="B211" s="1009"/>
      <c r="C211" s="981"/>
      <c r="D211" s="982"/>
      <c r="E211" s="983"/>
      <c r="F211" s="990"/>
      <c r="G211" s="991"/>
      <c r="H211" s="991"/>
      <c r="I211" s="992"/>
      <c r="J211" s="867" t="s">
        <v>141</v>
      </c>
      <c r="K211" s="958" t="s">
        <v>140</v>
      </c>
      <c r="L211" s="959"/>
      <c r="M211" s="500" t="s">
        <v>140</v>
      </c>
      <c r="N211" s="960" t="s">
        <v>140</v>
      </c>
      <c r="O211" s="961"/>
      <c r="P211" s="498" t="s">
        <v>140</v>
      </c>
      <c r="Q211" s="498" t="s">
        <v>140</v>
      </c>
    </row>
    <row r="212" spans="1:17" ht="12.75" customHeight="1">
      <c r="A212" s="491"/>
      <c r="B212" s="1009"/>
      <c r="C212" s="981"/>
      <c r="D212" s="982"/>
      <c r="E212" s="983"/>
      <c r="F212" s="987" t="s">
        <v>250</v>
      </c>
      <c r="G212" s="988"/>
      <c r="H212" s="988"/>
      <c r="I212" s="989"/>
      <c r="J212" s="863" t="s">
        <v>138</v>
      </c>
      <c r="K212" s="975" t="s">
        <v>139</v>
      </c>
      <c r="L212" s="976"/>
      <c r="M212" s="496" t="s">
        <v>140</v>
      </c>
      <c r="N212" s="977">
        <v>0.99</v>
      </c>
      <c r="O212" s="961"/>
      <c r="P212" s="499">
        <v>0.99</v>
      </c>
      <c r="Q212" s="499">
        <v>1.33</v>
      </c>
    </row>
    <row r="213" spans="1:17" ht="12.75" customHeight="1">
      <c r="A213" s="491"/>
      <c r="B213" s="1009"/>
      <c r="C213" s="981"/>
      <c r="D213" s="982"/>
      <c r="E213" s="983"/>
      <c r="F213" s="990"/>
      <c r="G213" s="991"/>
      <c r="H213" s="991"/>
      <c r="I213" s="992"/>
      <c r="J213" s="867" t="s">
        <v>141</v>
      </c>
      <c r="K213" s="958" t="s">
        <v>140</v>
      </c>
      <c r="L213" s="959"/>
      <c r="M213" s="500" t="s">
        <v>140</v>
      </c>
      <c r="N213" s="960" t="s">
        <v>140</v>
      </c>
      <c r="O213" s="961"/>
      <c r="P213" s="498" t="s">
        <v>140</v>
      </c>
      <c r="Q213" s="498" t="s">
        <v>140</v>
      </c>
    </row>
    <row r="214" spans="1:17" ht="12.75" customHeight="1">
      <c r="A214" s="491"/>
      <c r="B214" s="1009"/>
      <c r="C214" s="981"/>
      <c r="D214" s="982"/>
      <c r="E214" s="983"/>
      <c r="F214" s="987" t="s">
        <v>251</v>
      </c>
      <c r="G214" s="988"/>
      <c r="H214" s="988"/>
      <c r="I214" s="989"/>
      <c r="J214" s="863" t="s">
        <v>144</v>
      </c>
      <c r="K214" s="975" t="s">
        <v>145</v>
      </c>
      <c r="L214" s="976"/>
      <c r="M214" s="496" t="s">
        <v>140</v>
      </c>
      <c r="N214" s="977">
        <v>0</v>
      </c>
      <c r="O214" s="961"/>
      <c r="P214" s="499">
        <v>0</v>
      </c>
      <c r="Q214" s="498" t="s">
        <v>140</v>
      </c>
    </row>
    <row r="215" spans="1:17" ht="12.75" customHeight="1">
      <c r="A215" s="491"/>
      <c r="B215" s="1009"/>
      <c r="C215" s="981"/>
      <c r="D215" s="982"/>
      <c r="E215" s="983"/>
      <c r="F215" s="993"/>
      <c r="G215" s="994"/>
      <c r="H215" s="994"/>
      <c r="I215" s="995"/>
      <c r="J215" s="863" t="s">
        <v>146</v>
      </c>
      <c r="K215" s="975" t="s">
        <v>147</v>
      </c>
      <c r="L215" s="976"/>
      <c r="M215" s="496" t="s">
        <v>140</v>
      </c>
      <c r="N215" s="977">
        <v>84.2</v>
      </c>
      <c r="O215" s="961"/>
      <c r="P215" s="499">
        <v>84.2</v>
      </c>
      <c r="Q215" s="499">
        <v>93.9</v>
      </c>
    </row>
    <row r="216" spans="1:17" ht="12.75" customHeight="1">
      <c r="A216" s="491"/>
      <c r="B216" s="1009"/>
      <c r="C216" s="981"/>
      <c r="D216" s="982"/>
      <c r="E216" s="983"/>
      <c r="F216" s="993"/>
      <c r="G216" s="994"/>
      <c r="H216" s="994"/>
      <c r="I216" s="995"/>
      <c r="J216" s="863" t="s">
        <v>148</v>
      </c>
      <c r="K216" s="975" t="s">
        <v>149</v>
      </c>
      <c r="L216" s="976"/>
      <c r="M216" s="496" t="s">
        <v>140</v>
      </c>
      <c r="N216" s="977">
        <v>64.2</v>
      </c>
      <c r="O216" s="961"/>
      <c r="P216" s="499">
        <v>64.2</v>
      </c>
      <c r="Q216" s="499">
        <v>78.599999999999994</v>
      </c>
    </row>
    <row r="217" spans="1:17" ht="12.75" customHeight="1">
      <c r="A217" s="491"/>
      <c r="B217" s="1009"/>
      <c r="C217" s="981"/>
      <c r="D217" s="982"/>
      <c r="E217" s="983"/>
      <c r="F217" s="993"/>
      <c r="G217" s="994"/>
      <c r="H217" s="994"/>
      <c r="I217" s="995"/>
      <c r="J217" s="863" t="s">
        <v>150</v>
      </c>
      <c r="K217" s="975" t="s">
        <v>151</v>
      </c>
      <c r="L217" s="976"/>
      <c r="M217" s="496" t="s">
        <v>140</v>
      </c>
      <c r="N217" s="977">
        <v>92</v>
      </c>
      <c r="O217" s="961"/>
      <c r="P217" s="499">
        <v>92</v>
      </c>
      <c r="Q217" s="499">
        <v>112</v>
      </c>
    </row>
    <row r="218" spans="1:17" ht="12.75" customHeight="1">
      <c r="A218" s="491"/>
      <c r="B218" s="1009"/>
      <c r="C218" s="981"/>
      <c r="D218" s="982"/>
      <c r="E218" s="983"/>
      <c r="F218" s="990"/>
      <c r="G218" s="991"/>
      <c r="H218" s="991"/>
      <c r="I218" s="992"/>
      <c r="J218" s="867" t="s">
        <v>141</v>
      </c>
      <c r="K218" s="958" t="s">
        <v>140</v>
      </c>
      <c r="L218" s="959"/>
      <c r="M218" s="500" t="s">
        <v>140</v>
      </c>
      <c r="N218" s="960" t="s">
        <v>140</v>
      </c>
      <c r="O218" s="961"/>
      <c r="P218" s="498" t="s">
        <v>140</v>
      </c>
      <c r="Q218" s="498" t="s">
        <v>140</v>
      </c>
    </row>
    <row r="219" spans="1:17" ht="12.75" customHeight="1">
      <c r="A219" s="491"/>
      <c r="B219" s="1009"/>
      <c r="C219" s="981"/>
      <c r="D219" s="982"/>
      <c r="E219" s="983"/>
      <c r="F219" s="987" t="s">
        <v>252</v>
      </c>
      <c r="G219" s="988"/>
      <c r="H219" s="988"/>
      <c r="I219" s="989"/>
      <c r="J219" s="863" t="s">
        <v>138</v>
      </c>
      <c r="K219" s="975" t="s">
        <v>139</v>
      </c>
      <c r="L219" s="976"/>
      <c r="M219" s="496" t="s">
        <v>140</v>
      </c>
      <c r="N219" s="977">
        <v>1.03</v>
      </c>
      <c r="O219" s="961"/>
      <c r="P219" s="499">
        <v>1.03</v>
      </c>
      <c r="Q219" s="499">
        <v>1.17</v>
      </c>
    </row>
    <row r="220" spans="1:17" ht="12.75" customHeight="1">
      <c r="A220" s="491"/>
      <c r="B220" s="1009"/>
      <c r="C220" s="981"/>
      <c r="D220" s="982"/>
      <c r="E220" s="983"/>
      <c r="F220" s="990"/>
      <c r="G220" s="991"/>
      <c r="H220" s="991"/>
      <c r="I220" s="992"/>
      <c r="J220" s="867" t="s">
        <v>141</v>
      </c>
      <c r="K220" s="958" t="s">
        <v>140</v>
      </c>
      <c r="L220" s="959"/>
      <c r="M220" s="500" t="s">
        <v>140</v>
      </c>
      <c r="N220" s="960" t="s">
        <v>140</v>
      </c>
      <c r="O220" s="961"/>
      <c r="P220" s="498" t="s">
        <v>140</v>
      </c>
      <c r="Q220" s="498" t="s">
        <v>140</v>
      </c>
    </row>
    <row r="221" spans="1:17" ht="12.75" customHeight="1">
      <c r="A221" s="491"/>
      <c r="B221" s="1009"/>
      <c r="C221" s="981"/>
      <c r="D221" s="982"/>
      <c r="E221" s="983"/>
      <c r="F221" s="987" t="s">
        <v>253</v>
      </c>
      <c r="G221" s="988"/>
      <c r="H221" s="988"/>
      <c r="I221" s="989"/>
      <c r="J221" s="863" t="s">
        <v>172</v>
      </c>
      <c r="K221" s="975" t="s">
        <v>173</v>
      </c>
      <c r="L221" s="976"/>
      <c r="M221" s="496" t="s">
        <v>140</v>
      </c>
      <c r="N221" s="977">
        <v>40</v>
      </c>
      <c r="O221" s="961"/>
      <c r="P221" s="499">
        <v>40</v>
      </c>
      <c r="Q221" s="499">
        <v>44</v>
      </c>
    </row>
    <row r="222" spans="1:17" ht="12.75" customHeight="1">
      <c r="A222" s="491"/>
      <c r="B222" s="1009"/>
      <c r="C222" s="981"/>
      <c r="D222" s="982"/>
      <c r="E222" s="983"/>
      <c r="F222" s="993"/>
      <c r="G222" s="994"/>
      <c r="H222" s="994"/>
      <c r="I222" s="995"/>
      <c r="J222" s="863" t="s">
        <v>162</v>
      </c>
      <c r="K222" s="975" t="s">
        <v>163</v>
      </c>
      <c r="L222" s="976"/>
      <c r="M222" s="496" t="s">
        <v>140</v>
      </c>
      <c r="N222" s="977">
        <v>27.3</v>
      </c>
      <c r="O222" s="961"/>
      <c r="P222" s="499">
        <v>27.3</v>
      </c>
      <c r="Q222" s="499">
        <v>30.03</v>
      </c>
    </row>
    <row r="223" spans="1:17" ht="12.75" customHeight="1">
      <c r="A223" s="491"/>
      <c r="B223" s="1009"/>
      <c r="C223" s="981"/>
      <c r="D223" s="982"/>
      <c r="E223" s="983"/>
      <c r="F223" s="993"/>
      <c r="G223" s="994"/>
      <c r="H223" s="994"/>
      <c r="I223" s="995"/>
      <c r="J223" s="863" t="s">
        <v>231</v>
      </c>
      <c r="K223" s="975" t="s">
        <v>232</v>
      </c>
      <c r="L223" s="976"/>
      <c r="M223" s="496" t="s">
        <v>140</v>
      </c>
      <c r="N223" s="977">
        <v>93.97</v>
      </c>
      <c r="O223" s="961"/>
      <c r="P223" s="499">
        <v>93.97</v>
      </c>
      <c r="Q223" s="499">
        <v>103.37</v>
      </c>
    </row>
    <row r="224" spans="1:17" ht="12.75" customHeight="1">
      <c r="A224" s="491"/>
      <c r="B224" s="1009"/>
      <c r="C224" s="981"/>
      <c r="D224" s="982"/>
      <c r="E224" s="983"/>
      <c r="F224" s="993"/>
      <c r="G224" s="994"/>
      <c r="H224" s="994"/>
      <c r="I224" s="995"/>
      <c r="J224" s="863" t="s">
        <v>164</v>
      </c>
      <c r="K224" s="975" t="s">
        <v>165</v>
      </c>
      <c r="L224" s="976"/>
      <c r="M224" s="496" t="s">
        <v>140</v>
      </c>
      <c r="N224" s="977">
        <v>27.3</v>
      </c>
      <c r="O224" s="961"/>
      <c r="P224" s="499">
        <v>27.3</v>
      </c>
      <c r="Q224" s="499">
        <v>30.03</v>
      </c>
    </row>
    <row r="225" spans="1:17" ht="12.75" customHeight="1">
      <c r="A225" s="491"/>
      <c r="B225" s="1009"/>
      <c r="C225" s="981"/>
      <c r="D225" s="982"/>
      <c r="E225" s="983"/>
      <c r="F225" s="993"/>
      <c r="G225" s="994"/>
      <c r="H225" s="994"/>
      <c r="I225" s="995"/>
      <c r="J225" s="863" t="s">
        <v>158</v>
      </c>
      <c r="K225" s="975" t="s">
        <v>159</v>
      </c>
      <c r="L225" s="976"/>
      <c r="M225" s="496" t="s">
        <v>140</v>
      </c>
      <c r="N225" s="977">
        <v>94.5</v>
      </c>
      <c r="O225" s="961"/>
      <c r="P225" s="499">
        <v>94.5</v>
      </c>
      <c r="Q225" s="499">
        <v>103.95</v>
      </c>
    </row>
    <row r="226" spans="1:17" ht="12.75" customHeight="1">
      <c r="A226" s="491"/>
      <c r="B226" s="1009"/>
      <c r="C226" s="981"/>
      <c r="D226" s="982"/>
      <c r="E226" s="983"/>
      <c r="F226" s="993"/>
      <c r="G226" s="994"/>
      <c r="H226" s="994"/>
      <c r="I226" s="995"/>
      <c r="J226" s="863" t="s">
        <v>254</v>
      </c>
      <c r="K226" s="975" t="s">
        <v>255</v>
      </c>
      <c r="L226" s="976"/>
      <c r="M226" s="496" t="s">
        <v>140</v>
      </c>
      <c r="N226" s="977">
        <v>26.61</v>
      </c>
      <c r="O226" s="961"/>
      <c r="P226" s="499">
        <v>26.61</v>
      </c>
      <c r="Q226" s="499">
        <v>29.27</v>
      </c>
    </row>
    <row r="227" spans="1:17" ht="12.75" customHeight="1">
      <c r="A227" s="491"/>
      <c r="B227" s="1009"/>
      <c r="C227" s="981"/>
      <c r="D227" s="982"/>
      <c r="E227" s="983"/>
      <c r="F227" s="990"/>
      <c r="G227" s="991"/>
      <c r="H227" s="991"/>
      <c r="I227" s="992"/>
      <c r="J227" s="867" t="s">
        <v>141</v>
      </c>
      <c r="K227" s="958" t="s">
        <v>140</v>
      </c>
      <c r="L227" s="959"/>
      <c r="M227" s="500" t="s">
        <v>140</v>
      </c>
      <c r="N227" s="960" t="s">
        <v>140</v>
      </c>
      <c r="O227" s="961"/>
      <c r="P227" s="498" t="s">
        <v>140</v>
      </c>
      <c r="Q227" s="498" t="s">
        <v>140</v>
      </c>
    </row>
    <row r="228" spans="1:17" ht="12.75" customHeight="1">
      <c r="A228" s="491"/>
      <c r="B228" s="1009"/>
      <c r="C228" s="981"/>
      <c r="D228" s="982"/>
      <c r="E228" s="983"/>
      <c r="F228" s="987" t="s">
        <v>256</v>
      </c>
      <c r="G228" s="988"/>
      <c r="H228" s="988"/>
      <c r="I228" s="989"/>
      <c r="J228" s="863" t="s">
        <v>162</v>
      </c>
      <c r="K228" s="975" t="s">
        <v>163</v>
      </c>
      <c r="L228" s="976"/>
      <c r="M228" s="496" t="s">
        <v>140</v>
      </c>
      <c r="N228" s="977">
        <v>27.3</v>
      </c>
      <c r="O228" s="961"/>
      <c r="P228" s="499">
        <v>27.3</v>
      </c>
      <c r="Q228" s="499">
        <v>36</v>
      </c>
    </row>
    <row r="229" spans="1:17" ht="12.75" customHeight="1">
      <c r="A229" s="491"/>
      <c r="B229" s="1009"/>
      <c r="C229" s="981"/>
      <c r="D229" s="982"/>
      <c r="E229" s="983"/>
      <c r="F229" s="993"/>
      <c r="G229" s="994"/>
      <c r="H229" s="994"/>
      <c r="I229" s="995"/>
      <c r="J229" s="863" t="s">
        <v>164</v>
      </c>
      <c r="K229" s="975" t="s">
        <v>165</v>
      </c>
      <c r="L229" s="976"/>
      <c r="M229" s="496" t="s">
        <v>140</v>
      </c>
      <c r="N229" s="977">
        <v>27.3</v>
      </c>
      <c r="O229" s="961"/>
      <c r="P229" s="499">
        <v>27.3</v>
      </c>
      <c r="Q229" s="499">
        <v>36</v>
      </c>
    </row>
    <row r="230" spans="1:17" ht="12.75" customHeight="1">
      <c r="A230" s="491"/>
      <c r="B230" s="1009"/>
      <c r="C230" s="981"/>
      <c r="D230" s="982"/>
      <c r="E230" s="983"/>
      <c r="F230" s="993"/>
      <c r="G230" s="994"/>
      <c r="H230" s="994"/>
      <c r="I230" s="995"/>
      <c r="J230" s="863" t="s">
        <v>178</v>
      </c>
      <c r="K230" s="975" t="s">
        <v>179</v>
      </c>
      <c r="L230" s="976"/>
      <c r="M230" s="496" t="s">
        <v>140</v>
      </c>
      <c r="N230" s="977">
        <v>60</v>
      </c>
      <c r="O230" s="961"/>
      <c r="P230" s="499">
        <v>60</v>
      </c>
      <c r="Q230" s="499">
        <v>85</v>
      </c>
    </row>
    <row r="231" spans="1:17" ht="12.75" customHeight="1">
      <c r="A231" s="491"/>
      <c r="B231" s="1009"/>
      <c r="C231" s="981"/>
      <c r="D231" s="982"/>
      <c r="E231" s="983"/>
      <c r="F231" s="993"/>
      <c r="G231" s="994"/>
      <c r="H231" s="994"/>
      <c r="I231" s="995"/>
      <c r="J231" s="863" t="s">
        <v>166</v>
      </c>
      <c r="K231" s="975" t="s">
        <v>167</v>
      </c>
      <c r="L231" s="976"/>
      <c r="M231" s="496" t="s">
        <v>140</v>
      </c>
      <c r="N231" s="977">
        <v>29.92</v>
      </c>
      <c r="O231" s="961"/>
      <c r="P231" s="499">
        <v>29.92</v>
      </c>
      <c r="Q231" s="499">
        <v>36</v>
      </c>
    </row>
    <row r="232" spans="1:17" ht="12.75" customHeight="1">
      <c r="A232" s="491"/>
      <c r="B232" s="1009"/>
      <c r="C232" s="981"/>
      <c r="D232" s="982"/>
      <c r="E232" s="983"/>
      <c r="F232" s="993"/>
      <c r="G232" s="994"/>
      <c r="H232" s="994"/>
      <c r="I232" s="995"/>
      <c r="J232" s="863" t="s">
        <v>168</v>
      </c>
      <c r="K232" s="975" t="s">
        <v>169</v>
      </c>
      <c r="L232" s="976"/>
      <c r="M232" s="496" t="s">
        <v>140</v>
      </c>
      <c r="N232" s="977">
        <v>29.92</v>
      </c>
      <c r="O232" s="961"/>
      <c r="P232" s="499">
        <v>29.92</v>
      </c>
      <c r="Q232" s="499">
        <v>36</v>
      </c>
    </row>
    <row r="233" spans="1:17" ht="12.75" customHeight="1">
      <c r="A233" s="491"/>
      <c r="B233" s="1009"/>
      <c r="C233" s="981"/>
      <c r="D233" s="982"/>
      <c r="E233" s="983"/>
      <c r="F233" s="990"/>
      <c r="G233" s="991"/>
      <c r="H233" s="991"/>
      <c r="I233" s="992"/>
      <c r="J233" s="867" t="s">
        <v>141</v>
      </c>
      <c r="K233" s="958" t="s">
        <v>140</v>
      </c>
      <c r="L233" s="959"/>
      <c r="M233" s="500" t="s">
        <v>140</v>
      </c>
      <c r="N233" s="960" t="s">
        <v>140</v>
      </c>
      <c r="O233" s="961"/>
      <c r="P233" s="498" t="s">
        <v>140</v>
      </c>
      <c r="Q233" s="498" t="s">
        <v>140</v>
      </c>
    </row>
    <row r="234" spans="1:17" ht="12.75" customHeight="1">
      <c r="A234" s="491"/>
      <c r="B234" s="1009"/>
      <c r="C234" s="981"/>
      <c r="D234" s="982"/>
      <c r="E234" s="983"/>
      <c r="F234" s="987" t="s">
        <v>257</v>
      </c>
      <c r="G234" s="988"/>
      <c r="H234" s="988"/>
      <c r="I234" s="989"/>
      <c r="J234" s="863" t="s">
        <v>206</v>
      </c>
      <c r="K234" s="975" t="s">
        <v>207</v>
      </c>
      <c r="L234" s="976"/>
      <c r="M234" s="496" t="s">
        <v>140</v>
      </c>
      <c r="N234" s="977">
        <v>132</v>
      </c>
      <c r="O234" s="961"/>
      <c r="P234" s="499">
        <v>132</v>
      </c>
      <c r="Q234" s="499">
        <v>183.62</v>
      </c>
    </row>
    <row r="235" spans="1:17" ht="12.75" customHeight="1">
      <c r="A235" s="491"/>
      <c r="B235" s="1009"/>
      <c r="C235" s="981"/>
      <c r="D235" s="982"/>
      <c r="E235" s="983"/>
      <c r="F235" s="993"/>
      <c r="G235" s="994"/>
      <c r="H235" s="994"/>
      <c r="I235" s="995"/>
      <c r="J235" s="863" t="s">
        <v>188</v>
      </c>
      <c r="K235" s="975" t="s">
        <v>189</v>
      </c>
      <c r="L235" s="976"/>
      <c r="M235" s="496" t="s">
        <v>140</v>
      </c>
      <c r="N235" s="977">
        <v>7.66</v>
      </c>
      <c r="O235" s="961"/>
      <c r="P235" s="499">
        <v>7.66</v>
      </c>
      <c r="Q235" s="499">
        <v>9</v>
      </c>
    </row>
    <row r="236" spans="1:17" ht="12.75" customHeight="1">
      <c r="A236" s="491"/>
      <c r="B236" s="1009"/>
      <c r="C236" s="981"/>
      <c r="D236" s="982"/>
      <c r="E236" s="983"/>
      <c r="F236" s="993"/>
      <c r="G236" s="994"/>
      <c r="H236" s="994"/>
      <c r="I236" s="995"/>
      <c r="J236" s="863" t="s">
        <v>190</v>
      </c>
      <c r="K236" s="975" t="s">
        <v>191</v>
      </c>
      <c r="L236" s="976"/>
      <c r="M236" s="496" t="s">
        <v>140</v>
      </c>
      <c r="N236" s="977">
        <v>7.66</v>
      </c>
      <c r="O236" s="961"/>
      <c r="P236" s="499">
        <v>7.66</v>
      </c>
      <c r="Q236" s="499">
        <v>9</v>
      </c>
    </row>
    <row r="237" spans="1:17" ht="12.75" customHeight="1">
      <c r="A237" s="491"/>
      <c r="B237" s="1009"/>
      <c r="C237" s="981"/>
      <c r="D237" s="982"/>
      <c r="E237" s="983"/>
      <c r="F237" s="993"/>
      <c r="G237" s="994"/>
      <c r="H237" s="994"/>
      <c r="I237" s="995"/>
      <c r="J237" s="863" t="s">
        <v>192</v>
      </c>
      <c r="K237" s="975" t="s">
        <v>193</v>
      </c>
      <c r="L237" s="976"/>
      <c r="M237" s="496" t="s">
        <v>140</v>
      </c>
      <c r="N237" s="977">
        <v>7.77</v>
      </c>
      <c r="O237" s="961"/>
      <c r="P237" s="499">
        <v>7.77</v>
      </c>
      <c r="Q237" s="499">
        <v>9</v>
      </c>
    </row>
    <row r="238" spans="1:17" ht="12.75" customHeight="1">
      <c r="A238" s="491"/>
      <c r="B238" s="1009"/>
      <c r="C238" s="981"/>
      <c r="D238" s="982"/>
      <c r="E238" s="983"/>
      <c r="F238" s="993"/>
      <c r="G238" s="994"/>
      <c r="H238" s="994"/>
      <c r="I238" s="995"/>
      <c r="J238" s="863" t="s">
        <v>194</v>
      </c>
      <c r="K238" s="975" t="s">
        <v>195</v>
      </c>
      <c r="L238" s="976"/>
      <c r="M238" s="496" t="s">
        <v>140</v>
      </c>
      <c r="N238" s="977">
        <v>7.77</v>
      </c>
      <c r="O238" s="961"/>
      <c r="P238" s="499">
        <v>7.77</v>
      </c>
      <c r="Q238" s="499">
        <v>9</v>
      </c>
    </row>
    <row r="239" spans="1:17" ht="12.75" customHeight="1">
      <c r="A239" s="491"/>
      <c r="B239" s="1009"/>
      <c r="C239" s="981"/>
      <c r="D239" s="982"/>
      <c r="E239" s="983"/>
      <c r="F239" s="993"/>
      <c r="G239" s="994"/>
      <c r="H239" s="994"/>
      <c r="I239" s="995"/>
      <c r="J239" s="863" t="s">
        <v>258</v>
      </c>
      <c r="K239" s="975" t="s">
        <v>259</v>
      </c>
      <c r="L239" s="976"/>
      <c r="M239" s="496" t="s">
        <v>140</v>
      </c>
      <c r="N239" s="977">
        <v>68.13</v>
      </c>
      <c r="O239" s="961"/>
      <c r="P239" s="499">
        <v>68.13</v>
      </c>
      <c r="Q239" s="499">
        <v>75</v>
      </c>
    </row>
    <row r="240" spans="1:17" ht="12.75" customHeight="1">
      <c r="A240" s="491"/>
      <c r="B240" s="1009"/>
      <c r="C240" s="981"/>
      <c r="D240" s="982"/>
      <c r="E240" s="983"/>
      <c r="F240" s="993"/>
      <c r="G240" s="994"/>
      <c r="H240" s="994"/>
      <c r="I240" s="995"/>
      <c r="J240" s="863" t="s">
        <v>208</v>
      </c>
      <c r="K240" s="975" t="s">
        <v>209</v>
      </c>
      <c r="L240" s="976"/>
      <c r="M240" s="496" t="s">
        <v>140</v>
      </c>
      <c r="N240" s="977">
        <v>16.5</v>
      </c>
      <c r="O240" s="961"/>
      <c r="P240" s="499">
        <v>16.5</v>
      </c>
      <c r="Q240" s="499">
        <v>16</v>
      </c>
    </row>
    <row r="241" spans="1:17" ht="12.75" customHeight="1">
      <c r="A241" s="491"/>
      <c r="B241" s="1009"/>
      <c r="C241" s="981"/>
      <c r="D241" s="982"/>
      <c r="E241" s="983"/>
      <c r="F241" s="993"/>
      <c r="G241" s="994"/>
      <c r="H241" s="994"/>
      <c r="I241" s="995"/>
      <c r="J241" s="863" t="s">
        <v>197</v>
      </c>
      <c r="K241" s="975" t="s">
        <v>198</v>
      </c>
      <c r="L241" s="976"/>
      <c r="M241" s="496" t="s">
        <v>140</v>
      </c>
      <c r="N241" s="977">
        <v>27.81</v>
      </c>
      <c r="O241" s="961"/>
      <c r="P241" s="499">
        <v>27.81</v>
      </c>
      <c r="Q241" s="499">
        <v>27.81</v>
      </c>
    </row>
    <row r="242" spans="1:17" ht="12.75" customHeight="1">
      <c r="A242" s="491"/>
      <c r="B242" s="1009"/>
      <c r="C242" s="981"/>
      <c r="D242" s="982"/>
      <c r="E242" s="983"/>
      <c r="F242" s="990"/>
      <c r="G242" s="991"/>
      <c r="H242" s="991"/>
      <c r="I242" s="992"/>
      <c r="J242" s="867" t="s">
        <v>141</v>
      </c>
      <c r="K242" s="958" t="s">
        <v>140</v>
      </c>
      <c r="L242" s="959"/>
      <c r="M242" s="500" t="s">
        <v>140</v>
      </c>
      <c r="N242" s="960" t="s">
        <v>140</v>
      </c>
      <c r="O242" s="961"/>
      <c r="P242" s="498" t="s">
        <v>140</v>
      </c>
      <c r="Q242" s="498" t="s">
        <v>140</v>
      </c>
    </row>
    <row r="243" spans="1:17" ht="12.75" customHeight="1">
      <c r="A243" s="491"/>
      <c r="B243" s="1009"/>
      <c r="C243" s="981"/>
      <c r="D243" s="982"/>
      <c r="E243" s="983"/>
      <c r="F243" s="987" t="s">
        <v>260</v>
      </c>
      <c r="G243" s="988"/>
      <c r="H243" s="988"/>
      <c r="I243" s="989"/>
      <c r="J243" s="863" t="s">
        <v>172</v>
      </c>
      <c r="K243" s="975" t="s">
        <v>173</v>
      </c>
      <c r="L243" s="976"/>
      <c r="M243" s="496" t="s">
        <v>140</v>
      </c>
      <c r="N243" s="977">
        <v>44.88</v>
      </c>
      <c r="O243" s="961"/>
      <c r="P243" s="499">
        <v>44.88</v>
      </c>
      <c r="Q243" s="499">
        <v>50</v>
      </c>
    </row>
    <row r="244" spans="1:17" ht="12.75" customHeight="1">
      <c r="A244" s="491"/>
      <c r="B244" s="1009"/>
      <c r="C244" s="981"/>
      <c r="D244" s="982"/>
      <c r="E244" s="983"/>
      <c r="F244" s="993"/>
      <c r="G244" s="994"/>
      <c r="H244" s="994"/>
      <c r="I244" s="995"/>
      <c r="J244" s="863" t="s">
        <v>162</v>
      </c>
      <c r="K244" s="975" t="s">
        <v>163</v>
      </c>
      <c r="L244" s="976"/>
      <c r="M244" s="496" t="s">
        <v>140</v>
      </c>
      <c r="N244" s="977">
        <v>25</v>
      </c>
      <c r="O244" s="961"/>
      <c r="P244" s="499">
        <v>25</v>
      </c>
      <c r="Q244" s="499">
        <v>28</v>
      </c>
    </row>
    <row r="245" spans="1:17" ht="12.75" customHeight="1">
      <c r="A245" s="491"/>
      <c r="B245" s="1009"/>
      <c r="C245" s="981"/>
      <c r="D245" s="982"/>
      <c r="E245" s="983"/>
      <c r="F245" s="993"/>
      <c r="G245" s="994"/>
      <c r="H245" s="994"/>
      <c r="I245" s="995"/>
      <c r="J245" s="863" t="s">
        <v>174</v>
      </c>
      <c r="K245" s="975" t="s">
        <v>175</v>
      </c>
      <c r="L245" s="976"/>
      <c r="M245" s="496" t="s">
        <v>140</v>
      </c>
      <c r="N245" s="977">
        <v>48.1</v>
      </c>
      <c r="O245" s="961"/>
      <c r="P245" s="499">
        <v>48.1</v>
      </c>
      <c r="Q245" s="499">
        <v>54</v>
      </c>
    </row>
    <row r="246" spans="1:17" ht="12.75" customHeight="1">
      <c r="A246" s="491"/>
      <c r="B246" s="1009"/>
      <c r="C246" s="981"/>
      <c r="D246" s="982"/>
      <c r="E246" s="983"/>
      <c r="F246" s="993"/>
      <c r="G246" s="994"/>
      <c r="H246" s="994"/>
      <c r="I246" s="995"/>
      <c r="J246" s="863" t="s">
        <v>176</v>
      </c>
      <c r="K246" s="975" t="s">
        <v>177</v>
      </c>
      <c r="L246" s="976"/>
      <c r="M246" s="496" t="s">
        <v>140</v>
      </c>
      <c r="N246" s="977">
        <v>26</v>
      </c>
      <c r="O246" s="961"/>
      <c r="P246" s="499">
        <v>26</v>
      </c>
      <c r="Q246" s="499">
        <v>29</v>
      </c>
    </row>
    <row r="247" spans="1:17" ht="12.75" customHeight="1">
      <c r="A247" s="491"/>
      <c r="B247" s="1009"/>
      <c r="C247" s="981"/>
      <c r="D247" s="982"/>
      <c r="E247" s="983"/>
      <c r="F247" s="993"/>
      <c r="G247" s="994"/>
      <c r="H247" s="994"/>
      <c r="I247" s="995"/>
      <c r="J247" s="863" t="s">
        <v>164</v>
      </c>
      <c r="K247" s="975" t="s">
        <v>165</v>
      </c>
      <c r="L247" s="976"/>
      <c r="M247" s="496" t="s">
        <v>140</v>
      </c>
      <c r="N247" s="977">
        <v>25</v>
      </c>
      <c r="O247" s="961"/>
      <c r="P247" s="499">
        <v>25</v>
      </c>
      <c r="Q247" s="499">
        <v>28</v>
      </c>
    </row>
    <row r="248" spans="1:17" ht="12.75" customHeight="1">
      <c r="A248" s="491"/>
      <c r="B248" s="1009"/>
      <c r="C248" s="981"/>
      <c r="D248" s="982"/>
      <c r="E248" s="983"/>
      <c r="F248" s="993"/>
      <c r="G248" s="994"/>
      <c r="H248" s="994"/>
      <c r="I248" s="995"/>
      <c r="J248" s="863" t="s">
        <v>178</v>
      </c>
      <c r="K248" s="975" t="s">
        <v>179</v>
      </c>
      <c r="L248" s="976"/>
      <c r="M248" s="496" t="s">
        <v>140</v>
      </c>
      <c r="N248" s="977">
        <v>62.47</v>
      </c>
      <c r="O248" s="961"/>
      <c r="P248" s="499">
        <v>62.47</v>
      </c>
      <c r="Q248" s="499">
        <v>75</v>
      </c>
    </row>
    <row r="249" spans="1:17" ht="12.75" customHeight="1">
      <c r="A249" s="491"/>
      <c r="B249" s="1009"/>
      <c r="C249" s="981"/>
      <c r="D249" s="982"/>
      <c r="E249" s="983"/>
      <c r="F249" s="993"/>
      <c r="G249" s="994"/>
      <c r="H249" s="994"/>
      <c r="I249" s="995"/>
      <c r="J249" s="863" t="s">
        <v>166</v>
      </c>
      <c r="K249" s="975" t="s">
        <v>167</v>
      </c>
      <c r="L249" s="976"/>
      <c r="M249" s="496" t="s">
        <v>140</v>
      </c>
      <c r="N249" s="977">
        <v>26</v>
      </c>
      <c r="O249" s="961"/>
      <c r="P249" s="499">
        <v>26</v>
      </c>
      <c r="Q249" s="499">
        <v>29</v>
      </c>
    </row>
    <row r="250" spans="1:17" ht="12.75" customHeight="1">
      <c r="A250" s="491"/>
      <c r="B250" s="1009"/>
      <c r="C250" s="981"/>
      <c r="D250" s="982"/>
      <c r="E250" s="983"/>
      <c r="F250" s="993"/>
      <c r="G250" s="994"/>
      <c r="H250" s="994"/>
      <c r="I250" s="995"/>
      <c r="J250" s="863" t="s">
        <v>168</v>
      </c>
      <c r="K250" s="975" t="s">
        <v>169</v>
      </c>
      <c r="L250" s="976"/>
      <c r="M250" s="496" t="s">
        <v>140</v>
      </c>
      <c r="N250" s="977">
        <v>26</v>
      </c>
      <c r="O250" s="961"/>
      <c r="P250" s="499">
        <v>26</v>
      </c>
      <c r="Q250" s="499">
        <v>29</v>
      </c>
    </row>
    <row r="251" spans="1:17" ht="12.75" customHeight="1">
      <c r="A251" s="491"/>
      <c r="B251" s="1009"/>
      <c r="C251" s="981"/>
      <c r="D251" s="982"/>
      <c r="E251" s="983"/>
      <c r="F251" s="990"/>
      <c r="G251" s="991"/>
      <c r="H251" s="991"/>
      <c r="I251" s="992"/>
      <c r="J251" s="867" t="s">
        <v>141</v>
      </c>
      <c r="K251" s="958" t="s">
        <v>140</v>
      </c>
      <c r="L251" s="959"/>
      <c r="M251" s="500" t="s">
        <v>140</v>
      </c>
      <c r="N251" s="960" t="s">
        <v>140</v>
      </c>
      <c r="O251" s="961"/>
      <c r="P251" s="498" t="s">
        <v>140</v>
      </c>
      <c r="Q251" s="498" t="s">
        <v>140</v>
      </c>
    </row>
    <row r="252" spans="1:17" ht="12.75" customHeight="1">
      <c r="A252" s="491"/>
      <c r="B252" s="1009"/>
      <c r="C252" s="981"/>
      <c r="D252" s="982"/>
      <c r="E252" s="983"/>
      <c r="F252" s="987" t="s">
        <v>261</v>
      </c>
      <c r="G252" s="988"/>
      <c r="H252" s="988"/>
      <c r="I252" s="989"/>
      <c r="J252" s="863" t="s">
        <v>182</v>
      </c>
      <c r="K252" s="975" t="s">
        <v>183</v>
      </c>
      <c r="L252" s="976"/>
      <c r="M252" s="496" t="s">
        <v>140</v>
      </c>
      <c r="N252" s="977">
        <v>0</v>
      </c>
      <c r="O252" s="961"/>
      <c r="P252" s="499">
        <v>0</v>
      </c>
      <c r="Q252" s="498" t="s">
        <v>140</v>
      </c>
    </row>
    <row r="253" spans="1:17" ht="12.75" customHeight="1">
      <c r="A253" s="491"/>
      <c r="B253" s="1009"/>
      <c r="C253" s="981"/>
      <c r="D253" s="982"/>
      <c r="E253" s="983"/>
      <c r="F253" s="990"/>
      <c r="G253" s="991"/>
      <c r="H253" s="991"/>
      <c r="I253" s="992"/>
      <c r="J253" s="867" t="s">
        <v>141</v>
      </c>
      <c r="K253" s="958" t="s">
        <v>140</v>
      </c>
      <c r="L253" s="959"/>
      <c r="M253" s="500" t="s">
        <v>140</v>
      </c>
      <c r="N253" s="960" t="s">
        <v>140</v>
      </c>
      <c r="O253" s="961"/>
      <c r="P253" s="498" t="s">
        <v>140</v>
      </c>
      <c r="Q253" s="498" t="s">
        <v>140</v>
      </c>
    </row>
    <row r="254" spans="1:17" ht="12.75" customHeight="1">
      <c r="A254" s="491"/>
      <c r="B254" s="1009"/>
      <c r="C254" s="981"/>
      <c r="D254" s="982"/>
      <c r="E254" s="983"/>
      <c r="F254" s="987" t="s">
        <v>262</v>
      </c>
      <c r="G254" s="988"/>
      <c r="H254" s="988"/>
      <c r="I254" s="989"/>
      <c r="J254" s="863" t="s">
        <v>213</v>
      </c>
      <c r="K254" s="975" t="s">
        <v>214</v>
      </c>
      <c r="L254" s="976"/>
      <c r="M254" s="496" t="s">
        <v>140</v>
      </c>
      <c r="N254" s="977">
        <v>0</v>
      </c>
      <c r="O254" s="961"/>
      <c r="P254" s="499">
        <v>0</v>
      </c>
      <c r="Q254" s="498" t="s">
        <v>140</v>
      </c>
    </row>
    <row r="255" spans="1:17" ht="12.75" customHeight="1">
      <c r="A255" s="491"/>
      <c r="B255" s="1009"/>
      <c r="C255" s="981"/>
      <c r="D255" s="982"/>
      <c r="E255" s="983"/>
      <c r="F255" s="993"/>
      <c r="G255" s="994"/>
      <c r="H255" s="994"/>
      <c r="I255" s="995"/>
      <c r="J255" s="863" t="s">
        <v>215</v>
      </c>
      <c r="K255" s="975" t="s">
        <v>216</v>
      </c>
      <c r="L255" s="976"/>
      <c r="M255" s="496" t="s">
        <v>140</v>
      </c>
      <c r="N255" s="977">
        <v>0</v>
      </c>
      <c r="O255" s="961"/>
      <c r="P255" s="499">
        <v>0</v>
      </c>
      <c r="Q255" s="498" t="s">
        <v>140</v>
      </c>
    </row>
    <row r="256" spans="1:17" ht="12.75" customHeight="1">
      <c r="A256" s="491"/>
      <c r="B256" s="1009"/>
      <c r="C256" s="981"/>
      <c r="D256" s="982"/>
      <c r="E256" s="983"/>
      <c r="F256" s="993"/>
      <c r="G256" s="994"/>
      <c r="H256" s="994"/>
      <c r="I256" s="995"/>
      <c r="J256" s="863" t="s">
        <v>144</v>
      </c>
      <c r="K256" s="975" t="s">
        <v>145</v>
      </c>
      <c r="L256" s="976"/>
      <c r="M256" s="496" t="s">
        <v>140</v>
      </c>
      <c r="N256" s="977">
        <v>0</v>
      </c>
      <c r="O256" s="961"/>
      <c r="P256" s="499">
        <v>0</v>
      </c>
      <c r="Q256" s="498" t="s">
        <v>140</v>
      </c>
    </row>
    <row r="257" spans="1:17" ht="12.75" customHeight="1">
      <c r="A257" s="491"/>
      <c r="B257" s="1009"/>
      <c r="C257" s="981"/>
      <c r="D257" s="982"/>
      <c r="E257" s="983"/>
      <c r="F257" s="993"/>
      <c r="G257" s="994"/>
      <c r="H257" s="994"/>
      <c r="I257" s="995"/>
      <c r="J257" s="863" t="s">
        <v>182</v>
      </c>
      <c r="K257" s="975" t="s">
        <v>183</v>
      </c>
      <c r="L257" s="976"/>
      <c r="M257" s="496" t="s">
        <v>140</v>
      </c>
      <c r="N257" s="977">
        <v>0</v>
      </c>
      <c r="O257" s="961"/>
      <c r="P257" s="499">
        <v>0</v>
      </c>
      <c r="Q257" s="498" t="s">
        <v>140</v>
      </c>
    </row>
    <row r="258" spans="1:17" ht="12.75" customHeight="1">
      <c r="A258" s="491"/>
      <c r="B258" s="1009"/>
      <c r="C258" s="981"/>
      <c r="D258" s="982"/>
      <c r="E258" s="983"/>
      <c r="F258" s="990"/>
      <c r="G258" s="991"/>
      <c r="H258" s="991"/>
      <c r="I258" s="992"/>
      <c r="J258" s="867" t="s">
        <v>141</v>
      </c>
      <c r="K258" s="958" t="s">
        <v>140</v>
      </c>
      <c r="L258" s="959"/>
      <c r="M258" s="500" t="s">
        <v>140</v>
      </c>
      <c r="N258" s="960" t="s">
        <v>140</v>
      </c>
      <c r="O258" s="961"/>
      <c r="P258" s="498" t="s">
        <v>140</v>
      </c>
      <c r="Q258" s="498" t="s">
        <v>140</v>
      </c>
    </row>
    <row r="259" spans="1:17" ht="12.75" customHeight="1">
      <c r="A259" s="491"/>
      <c r="B259" s="1009"/>
      <c r="C259" s="981"/>
      <c r="D259" s="982"/>
      <c r="E259" s="983"/>
      <c r="F259" s="987" t="s">
        <v>263</v>
      </c>
      <c r="G259" s="988"/>
      <c r="H259" s="988"/>
      <c r="I259" s="989"/>
      <c r="J259" s="863" t="s">
        <v>162</v>
      </c>
      <c r="K259" s="975" t="s">
        <v>163</v>
      </c>
      <c r="L259" s="976"/>
      <c r="M259" s="496" t="s">
        <v>140</v>
      </c>
      <c r="N259" s="977">
        <v>27.3</v>
      </c>
      <c r="O259" s="961"/>
      <c r="P259" s="499">
        <v>27.3</v>
      </c>
      <c r="Q259" s="499">
        <v>34</v>
      </c>
    </row>
    <row r="260" spans="1:17" ht="12.75" customHeight="1">
      <c r="A260" s="491"/>
      <c r="B260" s="1009"/>
      <c r="C260" s="981"/>
      <c r="D260" s="982"/>
      <c r="E260" s="983"/>
      <c r="F260" s="993"/>
      <c r="G260" s="994"/>
      <c r="H260" s="994"/>
      <c r="I260" s="995"/>
      <c r="J260" s="863" t="s">
        <v>164</v>
      </c>
      <c r="K260" s="975" t="s">
        <v>165</v>
      </c>
      <c r="L260" s="976"/>
      <c r="M260" s="496" t="s">
        <v>140</v>
      </c>
      <c r="N260" s="977">
        <v>27.3</v>
      </c>
      <c r="O260" s="961"/>
      <c r="P260" s="499">
        <v>27.3</v>
      </c>
      <c r="Q260" s="499">
        <v>34</v>
      </c>
    </row>
    <row r="261" spans="1:17" ht="12.75" customHeight="1">
      <c r="A261" s="491"/>
      <c r="B261" s="1009"/>
      <c r="C261" s="981"/>
      <c r="D261" s="982"/>
      <c r="E261" s="983"/>
      <c r="F261" s="993"/>
      <c r="G261" s="994"/>
      <c r="H261" s="994"/>
      <c r="I261" s="995"/>
      <c r="J261" s="863" t="s">
        <v>166</v>
      </c>
      <c r="K261" s="975" t="s">
        <v>167</v>
      </c>
      <c r="L261" s="976"/>
      <c r="M261" s="496" t="s">
        <v>140</v>
      </c>
      <c r="N261" s="977">
        <v>29.92</v>
      </c>
      <c r="O261" s="961"/>
      <c r="P261" s="499">
        <v>29.92</v>
      </c>
      <c r="Q261" s="499">
        <v>35</v>
      </c>
    </row>
    <row r="262" spans="1:17" ht="12.75" customHeight="1">
      <c r="A262" s="491"/>
      <c r="B262" s="1009"/>
      <c r="C262" s="981"/>
      <c r="D262" s="982"/>
      <c r="E262" s="983"/>
      <c r="F262" s="993"/>
      <c r="G262" s="994"/>
      <c r="H262" s="994"/>
      <c r="I262" s="995"/>
      <c r="J262" s="863" t="s">
        <v>168</v>
      </c>
      <c r="K262" s="975" t="s">
        <v>169</v>
      </c>
      <c r="L262" s="976"/>
      <c r="M262" s="496" t="s">
        <v>140</v>
      </c>
      <c r="N262" s="977">
        <v>29.92</v>
      </c>
      <c r="O262" s="961"/>
      <c r="P262" s="499">
        <v>29.92</v>
      </c>
      <c r="Q262" s="499">
        <v>35</v>
      </c>
    </row>
    <row r="263" spans="1:17" ht="12.75" customHeight="1">
      <c r="A263" s="491"/>
      <c r="B263" s="1009"/>
      <c r="C263" s="981"/>
      <c r="D263" s="982"/>
      <c r="E263" s="983"/>
      <c r="F263" s="990"/>
      <c r="G263" s="991"/>
      <c r="H263" s="991"/>
      <c r="I263" s="992"/>
      <c r="J263" s="867" t="s">
        <v>141</v>
      </c>
      <c r="K263" s="958" t="s">
        <v>140</v>
      </c>
      <c r="L263" s="959"/>
      <c r="M263" s="500" t="s">
        <v>140</v>
      </c>
      <c r="N263" s="960" t="s">
        <v>140</v>
      </c>
      <c r="O263" s="961"/>
      <c r="P263" s="498" t="s">
        <v>140</v>
      </c>
      <c r="Q263" s="498" t="s">
        <v>140</v>
      </c>
    </row>
    <row r="264" spans="1:17" ht="12.75" customHeight="1">
      <c r="A264" s="491"/>
      <c r="B264" s="1009"/>
      <c r="C264" s="981"/>
      <c r="D264" s="982"/>
      <c r="E264" s="983"/>
      <c r="F264" s="987" t="s">
        <v>264</v>
      </c>
      <c r="G264" s="988"/>
      <c r="H264" s="988"/>
      <c r="I264" s="989"/>
      <c r="J264" s="863" t="s">
        <v>162</v>
      </c>
      <c r="K264" s="975" t="s">
        <v>163</v>
      </c>
      <c r="L264" s="976"/>
      <c r="M264" s="496" t="s">
        <v>140</v>
      </c>
      <c r="N264" s="977">
        <v>27.3</v>
      </c>
      <c r="O264" s="961"/>
      <c r="P264" s="499">
        <v>27.3</v>
      </c>
      <c r="Q264" s="499">
        <v>32</v>
      </c>
    </row>
    <row r="265" spans="1:17" ht="12.75" customHeight="1">
      <c r="A265" s="491"/>
      <c r="B265" s="1009"/>
      <c r="C265" s="981"/>
      <c r="D265" s="982"/>
      <c r="E265" s="983"/>
      <c r="F265" s="993"/>
      <c r="G265" s="994"/>
      <c r="H265" s="994"/>
      <c r="I265" s="995"/>
      <c r="J265" s="863" t="s">
        <v>164</v>
      </c>
      <c r="K265" s="975" t="s">
        <v>165</v>
      </c>
      <c r="L265" s="976"/>
      <c r="M265" s="496" t="s">
        <v>140</v>
      </c>
      <c r="N265" s="977">
        <v>27.3</v>
      </c>
      <c r="O265" s="961"/>
      <c r="P265" s="499">
        <v>27.3</v>
      </c>
      <c r="Q265" s="499">
        <v>32</v>
      </c>
    </row>
    <row r="266" spans="1:17" ht="12.75" customHeight="1">
      <c r="A266" s="491"/>
      <c r="B266" s="1009"/>
      <c r="C266" s="981"/>
      <c r="D266" s="982"/>
      <c r="E266" s="983"/>
      <c r="F266" s="993"/>
      <c r="G266" s="994"/>
      <c r="H266" s="994"/>
      <c r="I266" s="995"/>
      <c r="J266" s="863" t="s">
        <v>166</v>
      </c>
      <c r="K266" s="975" t="s">
        <v>167</v>
      </c>
      <c r="L266" s="976"/>
      <c r="M266" s="496" t="s">
        <v>140</v>
      </c>
      <c r="N266" s="977">
        <v>29.92</v>
      </c>
      <c r="O266" s="961"/>
      <c r="P266" s="499">
        <v>29.92</v>
      </c>
      <c r="Q266" s="499">
        <v>34</v>
      </c>
    </row>
    <row r="267" spans="1:17" ht="12.75" customHeight="1">
      <c r="A267" s="491"/>
      <c r="B267" s="1009"/>
      <c r="C267" s="981"/>
      <c r="D267" s="982"/>
      <c r="E267" s="983"/>
      <c r="F267" s="993"/>
      <c r="G267" s="994"/>
      <c r="H267" s="994"/>
      <c r="I267" s="995"/>
      <c r="J267" s="863" t="s">
        <v>168</v>
      </c>
      <c r="K267" s="975" t="s">
        <v>169</v>
      </c>
      <c r="L267" s="976"/>
      <c r="M267" s="496" t="s">
        <v>140</v>
      </c>
      <c r="N267" s="977">
        <v>29.92</v>
      </c>
      <c r="O267" s="961"/>
      <c r="P267" s="499">
        <v>29.92</v>
      </c>
      <c r="Q267" s="499">
        <v>34</v>
      </c>
    </row>
    <row r="268" spans="1:17" ht="12.75" customHeight="1">
      <c r="A268" s="491"/>
      <c r="B268" s="1009"/>
      <c r="C268" s="981"/>
      <c r="D268" s="982"/>
      <c r="E268" s="983"/>
      <c r="F268" s="993"/>
      <c r="G268" s="994"/>
      <c r="H268" s="994"/>
      <c r="I268" s="995"/>
      <c r="J268" s="863" t="s">
        <v>219</v>
      </c>
      <c r="K268" s="975" t="s">
        <v>220</v>
      </c>
      <c r="L268" s="976"/>
      <c r="M268" s="496" t="s">
        <v>140</v>
      </c>
      <c r="N268" s="977">
        <v>39.72</v>
      </c>
      <c r="O268" s="961"/>
      <c r="P268" s="499">
        <v>39.72</v>
      </c>
      <c r="Q268" s="499">
        <v>39.72</v>
      </c>
    </row>
    <row r="269" spans="1:17" ht="12.75" customHeight="1">
      <c r="A269" s="491"/>
      <c r="B269" s="1009"/>
      <c r="C269" s="981"/>
      <c r="D269" s="982"/>
      <c r="E269" s="983"/>
      <c r="F269" s="993"/>
      <c r="G269" s="994"/>
      <c r="H269" s="994"/>
      <c r="I269" s="995"/>
      <c r="J269" s="863" t="s">
        <v>221</v>
      </c>
      <c r="K269" s="975" t="s">
        <v>222</v>
      </c>
      <c r="L269" s="976"/>
      <c r="M269" s="496" t="s">
        <v>140</v>
      </c>
      <c r="N269" s="977">
        <v>39.72</v>
      </c>
      <c r="O269" s="961"/>
      <c r="P269" s="499">
        <v>39.72</v>
      </c>
      <c r="Q269" s="499">
        <v>39.72</v>
      </c>
    </row>
    <row r="270" spans="1:17" ht="12.75" customHeight="1">
      <c r="A270" s="491"/>
      <c r="B270" s="1009"/>
      <c r="C270" s="981"/>
      <c r="D270" s="982"/>
      <c r="E270" s="983"/>
      <c r="F270" s="990"/>
      <c r="G270" s="991"/>
      <c r="H270" s="991"/>
      <c r="I270" s="992"/>
      <c r="J270" s="867" t="s">
        <v>141</v>
      </c>
      <c r="K270" s="958" t="s">
        <v>140</v>
      </c>
      <c r="L270" s="959"/>
      <c r="M270" s="500" t="s">
        <v>140</v>
      </c>
      <c r="N270" s="960" t="s">
        <v>140</v>
      </c>
      <c r="O270" s="961"/>
      <c r="P270" s="498" t="s">
        <v>140</v>
      </c>
      <c r="Q270" s="498" t="s">
        <v>140</v>
      </c>
    </row>
    <row r="271" spans="1:17" ht="12.75" customHeight="1">
      <c r="A271" s="491"/>
      <c r="B271" s="1009"/>
      <c r="C271" s="981"/>
      <c r="D271" s="982"/>
      <c r="E271" s="983"/>
      <c r="F271" s="987" t="s">
        <v>265</v>
      </c>
      <c r="G271" s="988"/>
      <c r="H271" s="988"/>
      <c r="I271" s="989"/>
      <c r="J271" s="863" t="s">
        <v>206</v>
      </c>
      <c r="K271" s="975" t="s">
        <v>207</v>
      </c>
      <c r="L271" s="976"/>
      <c r="M271" s="496" t="s">
        <v>140</v>
      </c>
      <c r="N271" s="977">
        <v>134.63999999999999</v>
      </c>
      <c r="O271" s="961"/>
      <c r="P271" s="499">
        <v>134.63999999999999</v>
      </c>
      <c r="Q271" s="499">
        <v>160</v>
      </c>
    </row>
    <row r="272" spans="1:17" ht="12.75" customHeight="1">
      <c r="A272" s="491"/>
      <c r="B272" s="1009"/>
      <c r="C272" s="981"/>
      <c r="D272" s="982"/>
      <c r="E272" s="983"/>
      <c r="F272" s="993"/>
      <c r="G272" s="994"/>
      <c r="H272" s="994"/>
      <c r="I272" s="995"/>
      <c r="J272" s="863" t="s">
        <v>208</v>
      </c>
      <c r="K272" s="975" t="s">
        <v>209</v>
      </c>
      <c r="L272" s="976"/>
      <c r="M272" s="496" t="s">
        <v>140</v>
      </c>
      <c r="N272" s="977">
        <v>16.829999999999998</v>
      </c>
      <c r="O272" s="961"/>
      <c r="P272" s="499">
        <v>16.829999999999998</v>
      </c>
      <c r="Q272" s="499">
        <v>20</v>
      </c>
    </row>
    <row r="273" spans="1:17" ht="12.75" customHeight="1">
      <c r="A273" s="491"/>
      <c r="B273" s="1009"/>
      <c r="C273" s="981"/>
      <c r="D273" s="982"/>
      <c r="E273" s="983"/>
      <c r="F273" s="990"/>
      <c r="G273" s="991"/>
      <c r="H273" s="991"/>
      <c r="I273" s="992"/>
      <c r="J273" s="867" t="s">
        <v>141</v>
      </c>
      <c r="K273" s="958" t="s">
        <v>140</v>
      </c>
      <c r="L273" s="959"/>
      <c r="M273" s="500" t="s">
        <v>140</v>
      </c>
      <c r="N273" s="960" t="s">
        <v>140</v>
      </c>
      <c r="O273" s="961"/>
      <c r="P273" s="498" t="s">
        <v>140</v>
      </c>
      <c r="Q273" s="498" t="s">
        <v>140</v>
      </c>
    </row>
    <row r="274" spans="1:17" ht="12.75" customHeight="1">
      <c r="A274" s="491"/>
      <c r="B274" s="1009"/>
      <c r="C274" s="981"/>
      <c r="D274" s="982"/>
      <c r="E274" s="983"/>
      <c r="F274" s="987" t="s">
        <v>266</v>
      </c>
      <c r="G274" s="988"/>
      <c r="H274" s="988"/>
      <c r="I274" s="989"/>
      <c r="J274" s="863" t="s">
        <v>162</v>
      </c>
      <c r="K274" s="975" t="s">
        <v>163</v>
      </c>
      <c r="L274" s="976"/>
      <c r="M274" s="496" t="s">
        <v>140</v>
      </c>
      <c r="N274" s="977">
        <v>27.3</v>
      </c>
      <c r="O274" s="961"/>
      <c r="P274" s="499">
        <v>27.3</v>
      </c>
      <c r="Q274" s="499">
        <v>32</v>
      </c>
    </row>
    <row r="275" spans="1:17" ht="12.75" customHeight="1">
      <c r="A275" s="491"/>
      <c r="B275" s="1009"/>
      <c r="C275" s="981"/>
      <c r="D275" s="982"/>
      <c r="E275" s="983"/>
      <c r="F275" s="993"/>
      <c r="G275" s="994"/>
      <c r="H275" s="994"/>
      <c r="I275" s="995"/>
      <c r="J275" s="863" t="s">
        <v>185</v>
      </c>
      <c r="K275" s="975" t="s">
        <v>186</v>
      </c>
      <c r="L275" s="976"/>
      <c r="M275" s="496" t="s">
        <v>140</v>
      </c>
      <c r="N275" s="977">
        <v>49.5</v>
      </c>
      <c r="O275" s="961"/>
      <c r="P275" s="499">
        <v>49.5</v>
      </c>
      <c r="Q275" s="499">
        <v>55</v>
      </c>
    </row>
    <row r="276" spans="1:17" ht="12.75" customHeight="1">
      <c r="A276" s="491"/>
      <c r="B276" s="1009"/>
      <c r="C276" s="981"/>
      <c r="D276" s="982"/>
      <c r="E276" s="983"/>
      <c r="F276" s="993"/>
      <c r="G276" s="994"/>
      <c r="H276" s="994"/>
      <c r="I276" s="995"/>
      <c r="J276" s="863" t="s">
        <v>164</v>
      </c>
      <c r="K276" s="975" t="s">
        <v>165</v>
      </c>
      <c r="L276" s="976"/>
      <c r="M276" s="496" t="s">
        <v>140</v>
      </c>
      <c r="N276" s="977">
        <v>27.3</v>
      </c>
      <c r="O276" s="961"/>
      <c r="P276" s="499">
        <v>27.3</v>
      </c>
      <c r="Q276" s="499">
        <v>33</v>
      </c>
    </row>
    <row r="277" spans="1:17" ht="12.75" customHeight="1">
      <c r="A277" s="491"/>
      <c r="B277" s="1009"/>
      <c r="C277" s="981"/>
      <c r="D277" s="982"/>
      <c r="E277" s="983"/>
      <c r="F277" s="993"/>
      <c r="G277" s="994"/>
      <c r="H277" s="994"/>
      <c r="I277" s="995"/>
      <c r="J277" s="863" t="s">
        <v>166</v>
      </c>
      <c r="K277" s="975" t="s">
        <v>167</v>
      </c>
      <c r="L277" s="976"/>
      <c r="M277" s="496" t="s">
        <v>140</v>
      </c>
      <c r="N277" s="977">
        <v>29.7</v>
      </c>
      <c r="O277" s="961"/>
      <c r="P277" s="499">
        <v>29.7</v>
      </c>
      <c r="Q277" s="499">
        <v>33</v>
      </c>
    </row>
    <row r="278" spans="1:17" ht="12.75" customHeight="1">
      <c r="A278" s="491"/>
      <c r="B278" s="1009"/>
      <c r="C278" s="981"/>
      <c r="D278" s="982"/>
      <c r="E278" s="983"/>
      <c r="F278" s="993"/>
      <c r="G278" s="994"/>
      <c r="H278" s="994"/>
      <c r="I278" s="995"/>
      <c r="J278" s="863" t="s">
        <v>168</v>
      </c>
      <c r="K278" s="975" t="s">
        <v>169</v>
      </c>
      <c r="L278" s="976"/>
      <c r="M278" s="496" t="s">
        <v>140</v>
      </c>
      <c r="N278" s="977">
        <v>29.7</v>
      </c>
      <c r="O278" s="961"/>
      <c r="P278" s="499">
        <v>29.7</v>
      </c>
      <c r="Q278" s="499">
        <v>33</v>
      </c>
    </row>
    <row r="279" spans="1:17" ht="12.75" customHeight="1">
      <c r="A279" s="491"/>
      <c r="B279" s="1009"/>
      <c r="C279" s="981"/>
      <c r="D279" s="982"/>
      <c r="E279" s="983"/>
      <c r="F279" s="990"/>
      <c r="G279" s="991"/>
      <c r="H279" s="991"/>
      <c r="I279" s="992"/>
      <c r="J279" s="867" t="s">
        <v>141</v>
      </c>
      <c r="K279" s="958" t="s">
        <v>140</v>
      </c>
      <c r="L279" s="959"/>
      <c r="M279" s="500" t="s">
        <v>140</v>
      </c>
      <c r="N279" s="960" t="s">
        <v>140</v>
      </c>
      <c r="O279" s="961"/>
      <c r="P279" s="498" t="s">
        <v>140</v>
      </c>
      <c r="Q279" s="498" t="s">
        <v>140</v>
      </c>
    </row>
    <row r="280" spans="1:17" ht="12.75" customHeight="1">
      <c r="A280" s="491"/>
      <c r="B280" s="1009"/>
      <c r="C280" s="981"/>
      <c r="D280" s="982"/>
      <c r="E280" s="983"/>
      <c r="F280" s="987" t="s">
        <v>267</v>
      </c>
      <c r="G280" s="988"/>
      <c r="H280" s="988"/>
      <c r="I280" s="989"/>
      <c r="J280" s="863" t="s">
        <v>206</v>
      </c>
      <c r="K280" s="975" t="s">
        <v>207</v>
      </c>
      <c r="L280" s="976"/>
      <c r="M280" s="496" t="s">
        <v>140</v>
      </c>
      <c r="N280" s="977">
        <v>132</v>
      </c>
      <c r="O280" s="961"/>
      <c r="P280" s="499">
        <v>132</v>
      </c>
      <c r="Q280" s="499">
        <v>146</v>
      </c>
    </row>
    <row r="281" spans="1:17" ht="12.75" customHeight="1">
      <c r="A281" s="491"/>
      <c r="B281" s="1009"/>
      <c r="C281" s="981"/>
      <c r="D281" s="982"/>
      <c r="E281" s="983"/>
      <c r="F281" s="993"/>
      <c r="G281" s="994"/>
      <c r="H281" s="994"/>
      <c r="I281" s="995"/>
      <c r="J281" s="863" t="s">
        <v>208</v>
      </c>
      <c r="K281" s="975" t="s">
        <v>209</v>
      </c>
      <c r="L281" s="976"/>
      <c r="M281" s="496" t="s">
        <v>140</v>
      </c>
      <c r="N281" s="977">
        <v>16.5</v>
      </c>
      <c r="O281" s="961"/>
      <c r="P281" s="499">
        <v>16.5</v>
      </c>
      <c r="Q281" s="499">
        <v>18.25</v>
      </c>
    </row>
    <row r="282" spans="1:17" ht="12.75" customHeight="1">
      <c r="A282" s="491"/>
      <c r="B282" s="1009"/>
      <c r="C282" s="981"/>
      <c r="D282" s="982"/>
      <c r="E282" s="983"/>
      <c r="F282" s="990"/>
      <c r="G282" s="991"/>
      <c r="H282" s="991"/>
      <c r="I282" s="992"/>
      <c r="J282" s="867" t="s">
        <v>141</v>
      </c>
      <c r="K282" s="958" t="s">
        <v>140</v>
      </c>
      <c r="L282" s="959"/>
      <c r="M282" s="500" t="s">
        <v>140</v>
      </c>
      <c r="N282" s="960" t="s">
        <v>140</v>
      </c>
      <c r="O282" s="961"/>
      <c r="P282" s="498" t="s">
        <v>140</v>
      </c>
      <c r="Q282" s="498" t="s">
        <v>140</v>
      </c>
    </row>
    <row r="283" spans="1:17" ht="12.75" customHeight="1">
      <c r="A283" s="491"/>
      <c r="B283" s="1009"/>
      <c r="C283" s="981"/>
      <c r="D283" s="982"/>
      <c r="E283" s="983"/>
      <c r="F283" s="987" t="s">
        <v>268</v>
      </c>
      <c r="G283" s="988"/>
      <c r="H283" s="988"/>
      <c r="I283" s="989"/>
      <c r="J283" s="863" t="s">
        <v>158</v>
      </c>
      <c r="K283" s="975" t="s">
        <v>159</v>
      </c>
      <c r="L283" s="976"/>
      <c r="M283" s="496" t="s">
        <v>140</v>
      </c>
      <c r="N283" s="977">
        <v>86.1</v>
      </c>
      <c r="O283" s="961"/>
      <c r="P283" s="499">
        <v>86.1</v>
      </c>
      <c r="Q283" s="499">
        <v>125</v>
      </c>
    </row>
    <row r="284" spans="1:17" ht="12.75" customHeight="1">
      <c r="A284" s="491"/>
      <c r="B284" s="1009"/>
      <c r="C284" s="981"/>
      <c r="D284" s="982"/>
      <c r="E284" s="983"/>
      <c r="F284" s="990"/>
      <c r="G284" s="991"/>
      <c r="H284" s="991"/>
      <c r="I284" s="992"/>
      <c r="J284" s="867" t="s">
        <v>141</v>
      </c>
      <c r="K284" s="958" t="s">
        <v>140</v>
      </c>
      <c r="L284" s="959"/>
      <c r="M284" s="500" t="s">
        <v>140</v>
      </c>
      <c r="N284" s="960" t="s">
        <v>140</v>
      </c>
      <c r="O284" s="961"/>
      <c r="P284" s="498" t="s">
        <v>140</v>
      </c>
      <c r="Q284" s="498" t="s">
        <v>140</v>
      </c>
    </row>
    <row r="285" spans="1:17" ht="12.75" customHeight="1">
      <c r="A285" s="491"/>
      <c r="B285" s="1009"/>
      <c r="C285" s="981"/>
      <c r="D285" s="982"/>
      <c r="E285" s="983"/>
      <c r="F285" s="987" t="s">
        <v>269</v>
      </c>
      <c r="G285" s="988"/>
      <c r="H285" s="988"/>
      <c r="I285" s="989"/>
      <c r="J285" s="863" t="s">
        <v>162</v>
      </c>
      <c r="K285" s="975" t="s">
        <v>163</v>
      </c>
      <c r="L285" s="976"/>
      <c r="M285" s="496" t="s">
        <v>140</v>
      </c>
      <c r="N285" s="977">
        <v>27.3</v>
      </c>
      <c r="O285" s="961"/>
      <c r="P285" s="499">
        <v>27.3</v>
      </c>
      <c r="Q285" s="499">
        <v>37</v>
      </c>
    </row>
    <row r="286" spans="1:17" ht="12.75" customHeight="1">
      <c r="A286" s="491"/>
      <c r="B286" s="1009"/>
      <c r="C286" s="981"/>
      <c r="D286" s="982"/>
      <c r="E286" s="983"/>
      <c r="F286" s="993"/>
      <c r="G286" s="994"/>
      <c r="H286" s="994"/>
      <c r="I286" s="995"/>
      <c r="J286" s="863" t="s">
        <v>164</v>
      </c>
      <c r="K286" s="975" t="s">
        <v>165</v>
      </c>
      <c r="L286" s="976"/>
      <c r="M286" s="496" t="s">
        <v>140</v>
      </c>
      <c r="N286" s="977">
        <v>27.3</v>
      </c>
      <c r="O286" s="961"/>
      <c r="P286" s="499">
        <v>27.3</v>
      </c>
      <c r="Q286" s="499">
        <v>37</v>
      </c>
    </row>
    <row r="287" spans="1:17" ht="12.75" customHeight="1">
      <c r="A287" s="491"/>
      <c r="B287" s="1009"/>
      <c r="C287" s="981"/>
      <c r="D287" s="982"/>
      <c r="E287" s="983"/>
      <c r="F287" s="993"/>
      <c r="G287" s="994"/>
      <c r="H287" s="994"/>
      <c r="I287" s="995"/>
      <c r="J287" s="863" t="s">
        <v>166</v>
      </c>
      <c r="K287" s="975" t="s">
        <v>167</v>
      </c>
      <c r="L287" s="976"/>
      <c r="M287" s="496" t="s">
        <v>140</v>
      </c>
      <c r="N287" s="977">
        <v>29.92</v>
      </c>
      <c r="O287" s="961"/>
      <c r="P287" s="499">
        <v>29.92</v>
      </c>
      <c r="Q287" s="499">
        <v>37</v>
      </c>
    </row>
    <row r="288" spans="1:17" ht="12.75" customHeight="1">
      <c r="A288" s="491"/>
      <c r="B288" s="1009"/>
      <c r="C288" s="981"/>
      <c r="D288" s="982"/>
      <c r="E288" s="983"/>
      <c r="F288" s="993"/>
      <c r="G288" s="994"/>
      <c r="H288" s="994"/>
      <c r="I288" s="995"/>
      <c r="J288" s="863" t="s">
        <v>168</v>
      </c>
      <c r="K288" s="975" t="s">
        <v>169</v>
      </c>
      <c r="L288" s="976"/>
      <c r="M288" s="496" t="s">
        <v>140</v>
      </c>
      <c r="N288" s="977">
        <v>29.92</v>
      </c>
      <c r="O288" s="961"/>
      <c r="P288" s="499">
        <v>29.92</v>
      </c>
      <c r="Q288" s="499">
        <v>37</v>
      </c>
    </row>
    <row r="289" spans="1:17" ht="12.75" customHeight="1">
      <c r="A289" s="491"/>
      <c r="B289" s="1009"/>
      <c r="C289" s="981"/>
      <c r="D289" s="982"/>
      <c r="E289" s="983"/>
      <c r="F289" s="990"/>
      <c r="G289" s="991"/>
      <c r="H289" s="991"/>
      <c r="I289" s="992"/>
      <c r="J289" s="867" t="s">
        <v>141</v>
      </c>
      <c r="K289" s="958" t="s">
        <v>140</v>
      </c>
      <c r="L289" s="959"/>
      <c r="M289" s="500" t="s">
        <v>140</v>
      </c>
      <c r="N289" s="960" t="s">
        <v>140</v>
      </c>
      <c r="O289" s="961"/>
      <c r="P289" s="498" t="s">
        <v>140</v>
      </c>
      <c r="Q289" s="498" t="s">
        <v>140</v>
      </c>
    </row>
    <row r="290" spans="1:17" ht="12.75" customHeight="1">
      <c r="A290" s="491"/>
      <c r="B290" s="1009"/>
      <c r="C290" s="981"/>
      <c r="D290" s="982"/>
      <c r="E290" s="983"/>
      <c r="F290" s="987" t="s">
        <v>270</v>
      </c>
      <c r="G290" s="988"/>
      <c r="H290" s="988"/>
      <c r="I290" s="989"/>
      <c r="J290" s="863" t="s">
        <v>162</v>
      </c>
      <c r="K290" s="975" t="s">
        <v>163</v>
      </c>
      <c r="L290" s="976"/>
      <c r="M290" s="496" t="s">
        <v>140</v>
      </c>
      <c r="N290" s="977">
        <v>27.3</v>
      </c>
      <c r="O290" s="961"/>
      <c r="P290" s="499">
        <v>27.3</v>
      </c>
      <c r="Q290" s="499">
        <v>31.5</v>
      </c>
    </row>
    <row r="291" spans="1:17" ht="12.75" customHeight="1">
      <c r="A291" s="491"/>
      <c r="B291" s="1009"/>
      <c r="C291" s="981"/>
      <c r="D291" s="982"/>
      <c r="E291" s="983"/>
      <c r="F291" s="993"/>
      <c r="G291" s="994"/>
      <c r="H291" s="994"/>
      <c r="I291" s="995"/>
      <c r="J291" s="863" t="s">
        <v>164</v>
      </c>
      <c r="K291" s="975" t="s">
        <v>165</v>
      </c>
      <c r="L291" s="976"/>
      <c r="M291" s="496" t="s">
        <v>140</v>
      </c>
      <c r="N291" s="977">
        <v>27.3</v>
      </c>
      <c r="O291" s="961"/>
      <c r="P291" s="499">
        <v>27.3</v>
      </c>
      <c r="Q291" s="499">
        <v>31.5</v>
      </c>
    </row>
    <row r="292" spans="1:17" ht="12.75" customHeight="1">
      <c r="A292" s="491"/>
      <c r="B292" s="1009"/>
      <c r="C292" s="981"/>
      <c r="D292" s="982"/>
      <c r="E292" s="983"/>
      <c r="F292" s="990"/>
      <c r="G292" s="991"/>
      <c r="H292" s="991"/>
      <c r="I292" s="992"/>
      <c r="J292" s="867" t="s">
        <v>141</v>
      </c>
      <c r="K292" s="958" t="s">
        <v>140</v>
      </c>
      <c r="L292" s="959"/>
      <c r="M292" s="500" t="s">
        <v>140</v>
      </c>
      <c r="N292" s="960" t="s">
        <v>140</v>
      </c>
      <c r="O292" s="961"/>
      <c r="P292" s="498" t="s">
        <v>140</v>
      </c>
      <c r="Q292" s="498" t="s">
        <v>140</v>
      </c>
    </row>
    <row r="293" spans="1:17" ht="12.75" customHeight="1">
      <c r="A293" s="491"/>
      <c r="B293" s="1009"/>
      <c r="C293" s="981"/>
      <c r="D293" s="982"/>
      <c r="E293" s="983"/>
      <c r="F293" s="987" t="s">
        <v>271</v>
      </c>
      <c r="G293" s="988"/>
      <c r="H293" s="988"/>
      <c r="I293" s="989"/>
      <c r="J293" s="863" t="s">
        <v>206</v>
      </c>
      <c r="K293" s="975" t="s">
        <v>207</v>
      </c>
      <c r="L293" s="976"/>
      <c r="M293" s="496" t="s">
        <v>140</v>
      </c>
      <c r="N293" s="977">
        <v>134.63999999999999</v>
      </c>
      <c r="O293" s="961"/>
      <c r="P293" s="499">
        <v>134.63999999999999</v>
      </c>
      <c r="Q293" s="499">
        <v>150</v>
      </c>
    </row>
    <row r="294" spans="1:17" ht="12.75" customHeight="1">
      <c r="A294" s="491"/>
      <c r="B294" s="1009"/>
      <c r="C294" s="981"/>
      <c r="D294" s="982"/>
      <c r="E294" s="983"/>
      <c r="F294" s="993"/>
      <c r="G294" s="994"/>
      <c r="H294" s="994"/>
      <c r="I294" s="995"/>
      <c r="J294" s="863" t="s">
        <v>208</v>
      </c>
      <c r="K294" s="975" t="s">
        <v>209</v>
      </c>
      <c r="L294" s="976"/>
      <c r="M294" s="496" t="s">
        <v>140</v>
      </c>
      <c r="N294" s="977">
        <v>16.829999999999998</v>
      </c>
      <c r="O294" s="961"/>
      <c r="P294" s="499">
        <v>16.829999999999998</v>
      </c>
      <c r="Q294" s="499">
        <v>18.75</v>
      </c>
    </row>
    <row r="295" spans="1:17" ht="12.75" customHeight="1">
      <c r="A295" s="491"/>
      <c r="B295" s="1009"/>
      <c r="C295" s="981"/>
      <c r="D295" s="982"/>
      <c r="E295" s="983"/>
      <c r="F295" s="990"/>
      <c r="G295" s="991"/>
      <c r="H295" s="991"/>
      <c r="I295" s="992"/>
      <c r="J295" s="867" t="s">
        <v>141</v>
      </c>
      <c r="K295" s="958" t="s">
        <v>140</v>
      </c>
      <c r="L295" s="959"/>
      <c r="M295" s="500" t="s">
        <v>140</v>
      </c>
      <c r="N295" s="960" t="s">
        <v>140</v>
      </c>
      <c r="O295" s="961"/>
      <c r="P295" s="498" t="s">
        <v>140</v>
      </c>
      <c r="Q295" s="498" t="s">
        <v>140</v>
      </c>
    </row>
    <row r="296" spans="1:17" ht="12.75" customHeight="1">
      <c r="A296" s="491"/>
      <c r="B296" s="1009"/>
      <c r="C296" s="981"/>
      <c r="D296" s="982"/>
      <c r="E296" s="983"/>
      <c r="F296" s="987" t="s">
        <v>272</v>
      </c>
      <c r="G296" s="988"/>
      <c r="H296" s="988"/>
      <c r="I296" s="989"/>
      <c r="J296" s="863" t="s">
        <v>162</v>
      </c>
      <c r="K296" s="975" t="s">
        <v>163</v>
      </c>
      <c r="L296" s="976"/>
      <c r="M296" s="496" t="s">
        <v>140</v>
      </c>
      <c r="N296" s="977">
        <v>27.3</v>
      </c>
      <c r="O296" s="961"/>
      <c r="P296" s="499">
        <v>27.3</v>
      </c>
      <c r="Q296" s="499">
        <v>35</v>
      </c>
    </row>
    <row r="297" spans="1:17" ht="12.75" customHeight="1">
      <c r="A297" s="491"/>
      <c r="B297" s="1009"/>
      <c r="C297" s="981"/>
      <c r="D297" s="982"/>
      <c r="E297" s="983"/>
      <c r="F297" s="993"/>
      <c r="G297" s="994"/>
      <c r="H297" s="994"/>
      <c r="I297" s="995"/>
      <c r="J297" s="863" t="s">
        <v>164</v>
      </c>
      <c r="K297" s="975" t="s">
        <v>165</v>
      </c>
      <c r="L297" s="976"/>
      <c r="M297" s="496" t="s">
        <v>140</v>
      </c>
      <c r="N297" s="977">
        <v>27.3</v>
      </c>
      <c r="O297" s="961"/>
      <c r="P297" s="499">
        <v>27.3</v>
      </c>
      <c r="Q297" s="499">
        <v>35</v>
      </c>
    </row>
    <row r="298" spans="1:17" ht="12.75" customHeight="1">
      <c r="A298" s="491"/>
      <c r="B298" s="1009"/>
      <c r="C298" s="981"/>
      <c r="D298" s="982"/>
      <c r="E298" s="983"/>
      <c r="F298" s="993"/>
      <c r="G298" s="994"/>
      <c r="H298" s="994"/>
      <c r="I298" s="995"/>
      <c r="J298" s="863" t="s">
        <v>166</v>
      </c>
      <c r="K298" s="975" t="s">
        <v>167</v>
      </c>
      <c r="L298" s="976"/>
      <c r="M298" s="496" t="s">
        <v>140</v>
      </c>
      <c r="N298" s="977">
        <v>29.92</v>
      </c>
      <c r="O298" s="961"/>
      <c r="P298" s="499">
        <v>29.92</v>
      </c>
      <c r="Q298" s="499">
        <v>35</v>
      </c>
    </row>
    <row r="299" spans="1:17" ht="12.75" customHeight="1">
      <c r="A299" s="491"/>
      <c r="B299" s="1009"/>
      <c r="C299" s="981"/>
      <c r="D299" s="982"/>
      <c r="E299" s="983"/>
      <c r="F299" s="993"/>
      <c r="G299" s="994"/>
      <c r="H299" s="994"/>
      <c r="I299" s="995"/>
      <c r="J299" s="863" t="s">
        <v>168</v>
      </c>
      <c r="K299" s="975" t="s">
        <v>169</v>
      </c>
      <c r="L299" s="976"/>
      <c r="M299" s="496" t="s">
        <v>140</v>
      </c>
      <c r="N299" s="977">
        <v>29.92</v>
      </c>
      <c r="O299" s="961"/>
      <c r="P299" s="499">
        <v>29.92</v>
      </c>
      <c r="Q299" s="499">
        <v>35</v>
      </c>
    </row>
    <row r="300" spans="1:17" ht="12.75" customHeight="1">
      <c r="A300" s="491"/>
      <c r="B300" s="1009"/>
      <c r="C300" s="981"/>
      <c r="D300" s="982"/>
      <c r="E300" s="983"/>
      <c r="F300" s="990"/>
      <c r="G300" s="991"/>
      <c r="H300" s="991"/>
      <c r="I300" s="992"/>
      <c r="J300" s="867" t="s">
        <v>141</v>
      </c>
      <c r="K300" s="958" t="s">
        <v>140</v>
      </c>
      <c r="L300" s="959"/>
      <c r="M300" s="500" t="s">
        <v>140</v>
      </c>
      <c r="N300" s="960" t="s">
        <v>140</v>
      </c>
      <c r="O300" s="961"/>
      <c r="P300" s="498" t="s">
        <v>140</v>
      </c>
      <c r="Q300" s="498" t="s">
        <v>140</v>
      </c>
    </row>
    <row r="301" spans="1:17" ht="12.75" customHeight="1">
      <c r="A301" s="491"/>
      <c r="B301" s="1009"/>
      <c r="C301" s="981"/>
      <c r="D301" s="982"/>
      <c r="E301" s="983"/>
      <c r="F301" s="987" t="s">
        <v>273</v>
      </c>
      <c r="G301" s="988"/>
      <c r="H301" s="988"/>
      <c r="I301" s="989"/>
      <c r="J301" s="863" t="s">
        <v>162</v>
      </c>
      <c r="K301" s="975" t="s">
        <v>163</v>
      </c>
      <c r="L301" s="976"/>
      <c r="M301" s="496" t="s">
        <v>140</v>
      </c>
      <c r="N301" s="977">
        <v>27.3</v>
      </c>
      <c r="O301" s="961"/>
      <c r="P301" s="499">
        <v>27.3</v>
      </c>
      <c r="Q301" s="499">
        <v>35</v>
      </c>
    </row>
    <row r="302" spans="1:17" ht="12.75" customHeight="1">
      <c r="A302" s="491"/>
      <c r="B302" s="1009"/>
      <c r="C302" s="981"/>
      <c r="D302" s="982"/>
      <c r="E302" s="983"/>
      <c r="F302" s="993"/>
      <c r="G302" s="994"/>
      <c r="H302" s="994"/>
      <c r="I302" s="995"/>
      <c r="J302" s="863" t="s">
        <v>164</v>
      </c>
      <c r="K302" s="975" t="s">
        <v>165</v>
      </c>
      <c r="L302" s="976"/>
      <c r="M302" s="496" t="s">
        <v>140</v>
      </c>
      <c r="N302" s="977">
        <v>27.3</v>
      </c>
      <c r="O302" s="961"/>
      <c r="P302" s="499">
        <v>27.3</v>
      </c>
      <c r="Q302" s="499">
        <v>35</v>
      </c>
    </row>
    <row r="303" spans="1:17" ht="12.75" customHeight="1">
      <c r="A303" s="491"/>
      <c r="B303" s="1009"/>
      <c r="C303" s="981"/>
      <c r="D303" s="982"/>
      <c r="E303" s="983"/>
      <c r="F303" s="993"/>
      <c r="G303" s="994"/>
      <c r="H303" s="994"/>
      <c r="I303" s="995"/>
      <c r="J303" s="863" t="s">
        <v>178</v>
      </c>
      <c r="K303" s="975" t="s">
        <v>179</v>
      </c>
      <c r="L303" s="976"/>
      <c r="M303" s="496" t="s">
        <v>140</v>
      </c>
      <c r="N303" s="977">
        <v>62.47</v>
      </c>
      <c r="O303" s="961"/>
      <c r="P303" s="499">
        <v>62.47</v>
      </c>
      <c r="Q303" s="499">
        <v>75</v>
      </c>
    </row>
    <row r="304" spans="1:17" ht="12.75" customHeight="1">
      <c r="A304" s="491"/>
      <c r="B304" s="1009"/>
      <c r="C304" s="981"/>
      <c r="D304" s="982"/>
      <c r="E304" s="983"/>
      <c r="F304" s="993"/>
      <c r="G304" s="994"/>
      <c r="H304" s="994"/>
      <c r="I304" s="995"/>
      <c r="J304" s="863" t="s">
        <v>166</v>
      </c>
      <c r="K304" s="975" t="s">
        <v>167</v>
      </c>
      <c r="L304" s="976"/>
      <c r="M304" s="496" t="s">
        <v>140</v>
      </c>
      <c r="N304" s="977">
        <v>29.75</v>
      </c>
      <c r="O304" s="961"/>
      <c r="P304" s="499">
        <v>29.75</v>
      </c>
      <c r="Q304" s="499">
        <v>35</v>
      </c>
    </row>
    <row r="305" spans="1:17" ht="12.75" customHeight="1">
      <c r="A305" s="491"/>
      <c r="B305" s="1009"/>
      <c r="C305" s="981"/>
      <c r="D305" s="982"/>
      <c r="E305" s="983"/>
      <c r="F305" s="993"/>
      <c r="G305" s="994"/>
      <c r="H305" s="994"/>
      <c r="I305" s="995"/>
      <c r="J305" s="863" t="s">
        <v>168</v>
      </c>
      <c r="K305" s="975" t="s">
        <v>169</v>
      </c>
      <c r="L305" s="976"/>
      <c r="M305" s="496" t="s">
        <v>140</v>
      </c>
      <c r="N305" s="977">
        <v>29.75</v>
      </c>
      <c r="O305" s="961"/>
      <c r="P305" s="499">
        <v>29.75</v>
      </c>
      <c r="Q305" s="499">
        <v>35</v>
      </c>
    </row>
    <row r="306" spans="1:17" ht="12.75" customHeight="1">
      <c r="A306" s="491"/>
      <c r="B306" s="1009"/>
      <c r="C306" s="981"/>
      <c r="D306" s="982"/>
      <c r="E306" s="983"/>
      <c r="F306" s="990"/>
      <c r="G306" s="991"/>
      <c r="H306" s="991"/>
      <c r="I306" s="992"/>
      <c r="J306" s="867" t="s">
        <v>141</v>
      </c>
      <c r="K306" s="958" t="s">
        <v>140</v>
      </c>
      <c r="L306" s="959"/>
      <c r="M306" s="500" t="s">
        <v>140</v>
      </c>
      <c r="N306" s="960" t="s">
        <v>140</v>
      </c>
      <c r="O306" s="961"/>
      <c r="P306" s="498" t="s">
        <v>140</v>
      </c>
      <c r="Q306" s="498" t="s">
        <v>140</v>
      </c>
    </row>
    <row r="307" spans="1:17" ht="12.75" customHeight="1">
      <c r="A307" s="491"/>
      <c r="B307" s="1009"/>
      <c r="C307" s="981"/>
      <c r="D307" s="982"/>
      <c r="E307" s="983"/>
      <c r="F307" s="987" t="s">
        <v>274</v>
      </c>
      <c r="G307" s="988"/>
      <c r="H307" s="988"/>
      <c r="I307" s="989"/>
      <c r="J307" s="863" t="s">
        <v>162</v>
      </c>
      <c r="K307" s="975" t="s">
        <v>163</v>
      </c>
      <c r="L307" s="976"/>
      <c r="M307" s="496" t="s">
        <v>140</v>
      </c>
      <c r="N307" s="977">
        <v>27.3</v>
      </c>
      <c r="O307" s="961"/>
      <c r="P307" s="499">
        <v>27.3</v>
      </c>
      <c r="Q307" s="499">
        <v>34</v>
      </c>
    </row>
    <row r="308" spans="1:17" ht="12.75" customHeight="1">
      <c r="A308" s="491"/>
      <c r="B308" s="1009"/>
      <c r="C308" s="981"/>
      <c r="D308" s="982"/>
      <c r="E308" s="983"/>
      <c r="F308" s="993"/>
      <c r="G308" s="994"/>
      <c r="H308" s="994"/>
      <c r="I308" s="995"/>
      <c r="J308" s="863" t="s">
        <v>164</v>
      </c>
      <c r="K308" s="975" t="s">
        <v>165</v>
      </c>
      <c r="L308" s="976"/>
      <c r="M308" s="496" t="s">
        <v>140</v>
      </c>
      <c r="N308" s="977">
        <v>27.3</v>
      </c>
      <c r="O308" s="961"/>
      <c r="P308" s="499">
        <v>27.3</v>
      </c>
      <c r="Q308" s="499">
        <v>34</v>
      </c>
    </row>
    <row r="309" spans="1:17" ht="12.75" customHeight="1">
      <c r="A309" s="491"/>
      <c r="B309" s="1009"/>
      <c r="C309" s="981"/>
      <c r="D309" s="982"/>
      <c r="E309" s="983"/>
      <c r="F309" s="993"/>
      <c r="G309" s="994"/>
      <c r="H309" s="994"/>
      <c r="I309" s="995"/>
      <c r="J309" s="863" t="s">
        <v>166</v>
      </c>
      <c r="K309" s="975" t="s">
        <v>167</v>
      </c>
      <c r="L309" s="976"/>
      <c r="M309" s="496" t="s">
        <v>140</v>
      </c>
      <c r="N309" s="977">
        <v>29.92</v>
      </c>
      <c r="O309" s="961"/>
      <c r="P309" s="499">
        <v>29.92</v>
      </c>
      <c r="Q309" s="499">
        <v>34</v>
      </c>
    </row>
    <row r="310" spans="1:17" ht="12.75" customHeight="1">
      <c r="A310" s="491"/>
      <c r="B310" s="1009"/>
      <c r="C310" s="981"/>
      <c r="D310" s="982"/>
      <c r="E310" s="983"/>
      <c r="F310" s="993"/>
      <c r="G310" s="994"/>
      <c r="H310" s="994"/>
      <c r="I310" s="995"/>
      <c r="J310" s="863" t="s">
        <v>168</v>
      </c>
      <c r="K310" s="975" t="s">
        <v>169</v>
      </c>
      <c r="L310" s="976"/>
      <c r="M310" s="496" t="s">
        <v>140</v>
      </c>
      <c r="N310" s="977">
        <v>29.92</v>
      </c>
      <c r="O310" s="961"/>
      <c r="P310" s="499">
        <v>29.92</v>
      </c>
      <c r="Q310" s="499">
        <v>34</v>
      </c>
    </row>
    <row r="311" spans="1:17" ht="12.75" customHeight="1">
      <c r="A311" s="491"/>
      <c r="B311" s="1009"/>
      <c r="C311" s="981"/>
      <c r="D311" s="982"/>
      <c r="E311" s="983"/>
      <c r="F311" s="990"/>
      <c r="G311" s="991"/>
      <c r="H311" s="991"/>
      <c r="I311" s="992"/>
      <c r="J311" s="867" t="s">
        <v>141</v>
      </c>
      <c r="K311" s="958" t="s">
        <v>140</v>
      </c>
      <c r="L311" s="959"/>
      <c r="M311" s="500" t="s">
        <v>140</v>
      </c>
      <c r="N311" s="960" t="s">
        <v>140</v>
      </c>
      <c r="O311" s="961"/>
      <c r="P311" s="498" t="s">
        <v>140</v>
      </c>
      <c r="Q311" s="498" t="s">
        <v>140</v>
      </c>
    </row>
    <row r="312" spans="1:17" ht="12.75" customHeight="1">
      <c r="A312" s="491"/>
      <c r="B312" s="1009"/>
      <c r="C312" s="981"/>
      <c r="D312" s="982"/>
      <c r="E312" s="983"/>
      <c r="F312" s="987" t="s">
        <v>275</v>
      </c>
      <c r="G312" s="988"/>
      <c r="H312" s="988"/>
      <c r="I312" s="989"/>
      <c r="J312" s="863" t="s">
        <v>162</v>
      </c>
      <c r="K312" s="975" t="s">
        <v>163</v>
      </c>
      <c r="L312" s="976"/>
      <c r="M312" s="496" t="s">
        <v>140</v>
      </c>
      <c r="N312" s="977">
        <v>27</v>
      </c>
      <c r="O312" s="961"/>
      <c r="P312" s="499">
        <v>27</v>
      </c>
      <c r="Q312" s="499">
        <v>35</v>
      </c>
    </row>
    <row r="313" spans="1:17" ht="12.75" customHeight="1">
      <c r="A313" s="491"/>
      <c r="B313" s="1009"/>
      <c r="C313" s="981"/>
      <c r="D313" s="982"/>
      <c r="E313" s="983"/>
      <c r="F313" s="993"/>
      <c r="G313" s="994"/>
      <c r="H313" s="994"/>
      <c r="I313" s="995"/>
      <c r="J313" s="863" t="s">
        <v>164</v>
      </c>
      <c r="K313" s="975" t="s">
        <v>165</v>
      </c>
      <c r="L313" s="976"/>
      <c r="M313" s="496" t="s">
        <v>140</v>
      </c>
      <c r="N313" s="977">
        <v>27</v>
      </c>
      <c r="O313" s="961"/>
      <c r="P313" s="499">
        <v>27</v>
      </c>
      <c r="Q313" s="499">
        <v>35</v>
      </c>
    </row>
    <row r="314" spans="1:17" ht="12.75" customHeight="1">
      <c r="A314" s="491"/>
      <c r="B314" s="1009"/>
      <c r="C314" s="981"/>
      <c r="D314" s="982"/>
      <c r="E314" s="983"/>
      <c r="F314" s="993"/>
      <c r="G314" s="994"/>
      <c r="H314" s="994"/>
      <c r="I314" s="995"/>
      <c r="J314" s="863" t="s">
        <v>178</v>
      </c>
      <c r="K314" s="975" t="s">
        <v>179</v>
      </c>
      <c r="L314" s="976"/>
      <c r="M314" s="496" t="s">
        <v>140</v>
      </c>
      <c r="N314" s="977">
        <v>54</v>
      </c>
      <c r="O314" s="961"/>
      <c r="P314" s="499">
        <v>54</v>
      </c>
      <c r="Q314" s="499">
        <v>60</v>
      </c>
    </row>
    <row r="315" spans="1:17" ht="12.75" customHeight="1">
      <c r="A315" s="491"/>
      <c r="B315" s="1009"/>
      <c r="C315" s="981"/>
      <c r="D315" s="982"/>
      <c r="E315" s="983"/>
      <c r="F315" s="993"/>
      <c r="G315" s="994"/>
      <c r="H315" s="994"/>
      <c r="I315" s="995"/>
      <c r="J315" s="863" t="s">
        <v>166</v>
      </c>
      <c r="K315" s="975" t="s">
        <v>167</v>
      </c>
      <c r="L315" s="976"/>
      <c r="M315" s="496" t="s">
        <v>140</v>
      </c>
      <c r="N315" s="977">
        <v>29</v>
      </c>
      <c r="O315" s="961"/>
      <c r="P315" s="499">
        <v>29</v>
      </c>
      <c r="Q315" s="499">
        <v>35</v>
      </c>
    </row>
    <row r="316" spans="1:17" ht="12.75" customHeight="1">
      <c r="A316" s="491"/>
      <c r="B316" s="1009"/>
      <c r="C316" s="981"/>
      <c r="D316" s="982"/>
      <c r="E316" s="983"/>
      <c r="F316" s="993"/>
      <c r="G316" s="994"/>
      <c r="H316" s="994"/>
      <c r="I316" s="995"/>
      <c r="J316" s="863" t="s">
        <v>168</v>
      </c>
      <c r="K316" s="975" t="s">
        <v>169</v>
      </c>
      <c r="L316" s="976"/>
      <c r="M316" s="496" t="s">
        <v>140</v>
      </c>
      <c r="N316" s="977">
        <v>29</v>
      </c>
      <c r="O316" s="961"/>
      <c r="P316" s="499">
        <v>29</v>
      </c>
      <c r="Q316" s="499">
        <v>35</v>
      </c>
    </row>
    <row r="317" spans="1:17" ht="12.75" customHeight="1">
      <c r="A317" s="491"/>
      <c r="B317" s="1009"/>
      <c r="C317" s="981"/>
      <c r="D317" s="982"/>
      <c r="E317" s="983"/>
      <c r="F317" s="990"/>
      <c r="G317" s="991"/>
      <c r="H317" s="991"/>
      <c r="I317" s="992"/>
      <c r="J317" s="867" t="s">
        <v>141</v>
      </c>
      <c r="K317" s="958" t="s">
        <v>140</v>
      </c>
      <c r="L317" s="959"/>
      <c r="M317" s="500" t="s">
        <v>140</v>
      </c>
      <c r="N317" s="960" t="s">
        <v>140</v>
      </c>
      <c r="O317" s="961"/>
      <c r="P317" s="498" t="s">
        <v>140</v>
      </c>
      <c r="Q317" s="498" t="s">
        <v>140</v>
      </c>
    </row>
    <row r="318" spans="1:17" ht="12.75" customHeight="1">
      <c r="A318" s="491"/>
      <c r="B318" s="1009"/>
      <c r="C318" s="981"/>
      <c r="D318" s="982"/>
      <c r="E318" s="983"/>
      <c r="F318" s="987" t="s">
        <v>276</v>
      </c>
      <c r="G318" s="988"/>
      <c r="H318" s="988"/>
      <c r="I318" s="989"/>
      <c r="J318" s="863" t="s">
        <v>162</v>
      </c>
      <c r="K318" s="975" t="s">
        <v>163</v>
      </c>
      <c r="L318" s="976"/>
      <c r="M318" s="496" t="s">
        <v>140</v>
      </c>
      <c r="N318" s="977">
        <v>27.3</v>
      </c>
      <c r="O318" s="961"/>
      <c r="P318" s="499">
        <v>27.3</v>
      </c>
      <c r="Q318" s="499">
        <v>38</v>
      </c>
    </row>
    <row r="319" spans="1:17" ht="12.75" customHeight="1">
      <c r="A319" s="491"/>
      <c r="B319" s="1009"/>
      <c r="C319" s="981"/>
      <c r="D319" s="982"/>
      <c r="E319" s="983"/>
      <c r="F319" s="993"/>
      <c r="G319" s="994"/>
      <c r="H319" s="994"/>
      <c r="I319" s="995"/>
      <c r="J319" s="863" t="s">
        <v>164</v>
      </c>
      <c r="K319" s="975" t="s">
        <v>165</v>
      </c>
      <c r="L319" s="976"/>
      <c r="M319" s="496" t="s">
        <v>140</v>
      </c>
      <c r="N319" s="977">
        <v>27.3</v>
      </c>
      <c r="O319" s="961"/>
      <c r="P319" s="499">
        <v>27.3</v>
      </c>
      <c r="Q319" s="499">
        <v>38</v>
      </c>
    </row>
    <row r="320" spans="1:17" ht="12.75" customHeight="1">
      <c r="A320" s="491"/>
      <c r="B320" s="1009"/>
      <c r="C320" s="981"/>
      <c r="D320" s="982"/>
      <c r="E320" s="983"/>
      <c r="F320" s="993"/>
      <c r="G320" s="994"/>
      <c r="H320" s="994"/>
      <c r="I320" s="995"/>
      <c r="J320" s="863" t="s">
        <v>178</v>
      </c>
      <c r="K320" s="975" t="s">
        <v>179</v>
      </c>
      <c r="L320" s="976"/>
      <c r="M320" s="496" t="s">
        <v>140</v>
      </c>
      <c r="N320" s="977">
        <v>62.47</v>
      </c>
      <c r="O320" s="961"/>
      <c r="P320" s="499">
        <v>62.47</v>
      </c>
      <c r="Q320" s="499">
        <v>120</v>
      </c>
    </row>
    <row r="321" spans="1:17" ht="12.75" customHeight="1">
      <c r="A321" s="491"/>
      <c r="B321" s="1009"/>
      <c r="C321" s="981"/>
      <c r="D321" s="982"/>
      <c r="E321" s="983"/>
      <c r="F321" s="993"/>
      <c r="G321" s="994"/>
      <c r="H321" s="994"/>
      <c r="I321" s="995"/>
      <c r="J321" s="863" t="s">
        <v>166</v>
      </c>
      <c r="K321" s="975" t="s">
        <v>167</v>
      </c>
      <c r="L321" s="976"/>
      <c r="M321" s="496" t="s">
        <v>140</v>
      </c>
      <c r="N321" s="977">
        <v>29.92</v>
      </c>
      <c r="O321" s="961"/>
      <c r="P321" s="499">
        <v>29.92</v>
      </c>
      <c r="Q321" s="499">
        <v>40</v>
      </c>
    </row>
    <row r="322" spans="1:17" ht="12.75" customHeight="1">
      <c r="A322" s="491"/>
      <c r="B322" s="1009"/>
      <c r="C322" s="981"/>
      <c r="D322" s="982"/>
      <c r="E322" s="983"/>
      <c r="F322" s="993"/>
      <c r="G322" s="994"/>
      <c r="H322" s="994"/>
      <c r="I322" s="995"/>
      <c r="J322" s="863" t="s">
        <v>168</v>
      </c>
      <c r="K322" s="975" t="s">
        <v>169</v>
      </c>
      <c r="L322" s="976"/>
      <c r="M322" s="496" t="s">
        <v>140</v>
      </c>
      <c r="N322" s="977">
        <v>29.92</v>
      </c>
      <c r="O322" s="961"/>
      <c r="P322" s="499">
        <v>29.92</v>
      </c>
      <c r="Q322" s="499">
        <v>50</v>
      </c>
    </row>
    <row r="323" spans="1:17" ht="12.75" customHeight="1">
      <c r="A323" s="491"/>
      <c r="B323" s="1009"/>
      <c r="C323" s="981"/>
      <c r="D323" s="982"/>
      <c r="E323" s="983"/>
      <c r="F323" s="993"/>
      <c r="G323" s="994"/>
      <c r="H323" s="994"/>
      <c r="I323" s="995"/>
      <c r="J323" s="863" t="s">
        <v>219</v>
      </c>
      <c r="K323" s="975" t="s">
        <v>220</v>
      </c>
      <c r="L323" s="976"/>
      <c r="M323" s="496" t="s">
        <v>140</v>
      </c>
      <c r="N323" s="977">
        <v>46.72</v>
      </c>
      <c r="O323" s="961"/>
      <c r="P323" s="499">
        <v>46.72</v>
      </c>
      <c r="Q323" s="499">
        <v>75</v>
      </c>
    </row>
    <row r="324" spans="1:17" ht="12.75" customHeight="1">
      <c r="A324" s="491"/>
      <c r="B324" s="1009"/>
      <c r="C324" s="981"/>
      <c r="D324" s="982"/>
      <c r="E324" s="983"/>
      <c r="F324" s="993"/>
      <c r="G324" s="994"/>
      <c r="H324" s="994"/>
      <c r="I324" s="995"/>
      <c r="J324" s="863" t="s">
        <v>221</v>
      </c>
      <c r="K324" s="975" t="s">
        <v>222</v>
      </c>
      <c r="L324" s="976"/>
      <c r="M324" s="496" t="s">
        <v>140</v>
      </c>
      <c r="N324" s="977">
        <v>43.05</v>
      </c>
      <c r="O324" s="961"/>
      <c r="P324" s="499">
        <v>43.05</v>
      </c>
      <c r="Q324" s="499">
        <v>60</v>
      </c>
    </row>
    <row r="325" spans="1:17" ht="12.75" customHeight="1">
      <c r="A325" s="491"/>
      <c r="B325" s="1009"/>
      <c r="C325" s="981"/>
      <c r="D325" s="982"/>
      <c r="E325" s="983"/>
      <c r="F325" s="990"/>
      <c r="G325" s="991"/>
      <c r="H325" s="991"/>
      <c r="I325" s="992"/>
      <c r="J325" s="867" t="s">
        <v>141</v>
      </c>
      <c r="K325" s="958" t="s">
        <v>140</v>
      </c>
      <c r="L325" s="959"/>
      <c r="M325" s="500" t="s">
        <v>140</v>
      </c>
      <c r="N325" s="960" t="s">
        <v>140</v>
      </c>
      <c r="O325" s="961"/>
      <c r="P325" s="498" t="s">
        <v>140</v>
      </c>
      <c r="Q325" s="498" t="s">
        <v>140</v>
      </c>
    </row>
    <row r="326" spans="1:17" ht="12.75" customHeight="1">
      <c r="A326" s="491"/>
      <c r="B326" s="1009"/>
      <c r="C326" s="981"/>
      <c r="D326" s="982"/>
      <c r="E326" s="983"/>
      <c r="F326" s="987" t="s">
        <v>277</v>
      </c>
      <c r="G326" s="988"/>
      <c r="H326" s="988"/>
      <c r="I326" s="989"/>
      <c r="J326" s="863" t="s">
        <v>162</v>
      </c>
      <c r="K326" s="975" t="s">
        <v>163</v>
      </c>
      <c r="L326" s="976"/>
      <c r="M326" s="496" t="s">
        <v>140</v>
      </c>
      <c r="N326" s="977">
        <v>27.3</v>
      </c>
      <c r="O326" s="961"/>
      <c r="P326" s="499">
        <v>27.3</v>
      </c>
      <c r="Q326" s="499">
        <v>35</v>
      </c>
    </row>
    <row r="327" spans="1:17" ht="12.75" customHeight="1">
      <c r="A327" s="491"/>
      <c r="B327" s="1009"/>
      <c r="C327" s="981"/>
      <c r="D327" s="982"/>
      <c r="E327" s="983"/>
      <c r="F327" s="993"/>
      <c r="G327" s="994"/>
      <c r="H327" s="994"/>
      <c r="I327" s="995"/>
      <c r="J327" s="863" t="s">
        <v>176</v>
      </c>
      <c r="K327" s="975" t="s">
        <v>177</v>
      </c>
      <c r="L327" s="976"/>
      <c r="M327" s="496" t="s">
        <v>140</v>
      </c>
      <c r="N327" s="977">
        <v>29.4</v>
      </c>
      <c r="O327" s="961"/>
      <c r="P327" s="499">
        <v>29.4</v>
      </c>
      <c r="Q327" s="499">
        <v>40</v>
      </c>
    </row>
    <row r="328" spans="1:17" ht="12.75" customHeight="1">
      <c r="A328" s="491"/>
      <c r="B328" s="1009"/>
      <c r="C328" s="981"/>
      <c r="D328" s="982"/>
      <c r="E328" s="983"/>
      <c r="F328" s="993"/>
      <c r="G328" s="994"/>
      <c r="H328" s="994"/>
      <c r="I328" s="995"/>
      <c r="J328" s="863" t="s">
        <v>164</v>
      </c>
      <c r="K328" s="975" t="s">
        <v>165</v>
      </c>
      <c r="L328" s="976"/>
      <c r="M328" s="496" t="s">
        <v>140</v>
      </c>
      <c r="N328" s="977">
        <v>27.3</v>
      </c>
      <c r="O328" s="961"/>
      <c r="P328" s="499">
        <v>27.3</v>
      </c>
      <c r="Q328" s="499">
        <v>35</v>
      </c>
    </row>
    <row r="329" spans="1:17" ht="12.75" customHeight="1">
      <c r="A329" s="491"/>
      <c r="B329" s="1009"/>
      <c r="C329" s="981"/>
      <c r="D329" s="982"/>
      <c r="E329" s="983"/>
      <c r="F329" s="993"/>
      <c r="G329" s="994"/>
      <c r="H329" s="994"/>
      <c r="I329" s="995"/>
      <c r="J329" s="863" t="s">
        <v>166</v>
      </c>
      <c r="K329" s="975" t="s">
        <v>167</v>
      </c>
      <c r="L329" s="976"/>
      <c r="M329" s="496" t="s">
        <v>140</v>
      </c>
      <c r="N329" s="977">
        <v>29.92</v>
      </c>
      <c r="O329" s="961"/>
      <c r="P329" s="499">
        <v>29.92</v>
      </c>
      <c r="Q329" s="499">
        <v>35</v>
      </c>
    </row>
    <row r="330" spans="1:17" ht="12.75" customHeight="1">
      <c r="A330" s="491"/>
      <c r="B330" s="1009"/>
      <c r="C330" s="981"/>
      <c r="D330" s="982"/>
      <c r="E330" s="983"/>
      <c r="F330" s="993"/>
      <c r="G330" s="994"/>
      <c r="H330" s="994"/>
      <c r="I330" s="995"/>
      <c r="J330" s="863" t="s">
        <v>168</v>
      </c>
      <c r="K330" s="975" t="s">
        <v>169</v>
      </c>
      <c r="L330" s="976"/>
      <c r="M330" s="496" t="s">
        <v>140</v>
      </c>
      <c r="N330" s="977">
        <v>29.92</v>
      </c>
      <c r="O330" s="961"/>
      <c r="P330" s="499">
        <v>29.92</v>
      </c>
      <c r="Q330" s="499">
        <v>35</v>
      </c>
    </row>
    <row r="331" spans="1:17" ht="12.75" customHeight="1">
      <c r="A331" s="491"/>
      <c r="B331" s="1009"/>
      <c r="C331" s="981"/>
      <c r="D331" s="982"/>
      <c r="E331" s="983"/>
      <c r="F331" s="990"/>
      <c r="G331" s="991"/>
      <c r="H331" s="991"/>
      <c r="I331" s="992"/>
      <c r="J331" s="867" t="s">
        <v>141</v>
      </c>
      <c r="K331" s="958" t="s">
        <v>140</v>
      </c>
      <c r="L331" s="959"/>
      <c r="M331" s="500" t="s">
        <v>140</v>
      </c>
      <c r="N331" s="960" t="s">
        <v>140</v>
      </c>
      <c r="O331" s="961"/>
      <c r="P331" s="498" t="s">
        <v>140</v>
      </c>
      <c r="Q331" s="498" t="s">
        <v>140</v>
      </c>
    </row>
    <row r="332" spans="1:17" ht="12.75" customHeight="1">
      <c r="A332" s="491"/>
      <c r="B332" s="1009"/>
      <c r="C332" s="981"/>
      <c r="D332" s="982"/>
      <c r="E332" s="983"/>
      <c r="F332" s="987" t="s">
        <v>278</v>
      </c>
      <c r="G332" s="988"/>
      <c r="H332" s="988"/>
      <c r="I332" s="989"/>
      <c r="J332" s="863" t="s">
        <v>213</v>
      </c>
      <c r="K332" s="975" t="s">
        <v>214</v>
      </c>
      <c r="L332" s="976"/>
      <c r="M332" s="496" t="s">
        <v>140</v>
      </c>
      <c r="N332" s="977">
        <v>0</v>
      </c>
      <c r="O332" s="961"/>
      <c r="P332" s="499">
        <v>0</v>
      </c>
      <c r="Q332" s="499">
        <v>0</v>
      </c>
    </row>
    <row r="333" spans="1:17" ht="12.75" customHeight="1">
      <c r="A333" s="491"/>
      <c r="B333" s="1009"/>
      <c r="C333" s="981"/>
      <c r="D333" s="982"/>
      <c r="E333" s="983"/>
      <c r="F333" s="993"/>
      <c r="G333" s="994"/>
      <c r="H333" s="994"/>
      <c r="I333" s="995"/>
      <c r="J333" s="863" t="s">
        <v>215</v>
      </c>
      <c r="K333" s="975" t="s">
        <v>216</v>
      </c>
      <c r="L333" s="976"/>
      <c r="M333" s="496" t="s">
        <v>140</v>
      </c>
      <c r="N333" s="977">
        <v>0</v>
      </c>
      <c r="O333" s="961"/>
      <c r="P333" s="499">
        <v>0</v>
      </c>
      <c r="Q333" s="499">
        <v>0</v>
      </c>
    </row>
    <row r="334" spans="1:17" ht="12.75" customHeight="1">
      <c r="A334" s="491"/>
      <c r="B334" s="1009"/>
      <c r="C334" s="981"/>
      <c r="D334" s="982"/>
      <c r="E334" s="983"/>
      <c r="F334" s="993"/>
      <c r="G334" s="994"/>
      <c r="H334" s="994"/>
      <c r="I334" s="995"/>
      <c r="J334" s="863" t="s">
        <v>144</v>
      </c>
      <c r="K334" s="975" t="s">
        <v>145</v>
      </c>
      <c r="L334" s="976"/>
      <c r="M334" s="496" t="s">
        <v>140</v>
      </c>
      <c r="N334" s="977">
        <v>0</v>
      </c>
      <c r="O334" s="961"/>
      <c r="P334" s="499">
        <v>0</v>
      </c>
      <c r="Q334" s="499">
        <v>0</v>
      </c>
    </row>
    <row r="335" spans="1:17" ht="12.75" customHeight="1">
      <c r="A335" s="491"/>
      <c r="B335" s="1009"/>
      <c r="C335" s="981"/>
      <c r="D335" s="982"/>
      <c r="E335" s="983"/>
      <c r="F335" s="993"/>
      <c r="G335" s="994"/>
      <c r="H335" s="994"/>
      <c r="I335" s="995"/>
      <c r="J335" s="863" t="s">
        <v>182</v>
      </c>
      <c r="K335" s="975" t="s">
        <v>183</v>
      </c>
      <c r="L335" s="976"/>
      <c r="M335" s="496" t="s">
        <v>140</v>
      </c>
      <c r="N335" s="977">
        <v>0</v>
      </c>
      <c r="O335" s="961"/>
      <c r="P335" s="499">
        <v>0</v>
      </c>
      <c r="Q335" s="499">
        <v>0</v>
      </c>
    </row>
    <row r="336" spans="1:17" ht="12.75" customHeight="1">
      <c r="A336" s="491"/>
      <c r="B336" s="1009"/>
      <c r="C336" s="981"/>
      <c r="D336" s="982"/>
      <c r="E336" s="983"/>
      <c r="F336" s="990"/>
      <c r="G336" s="991"/>
      <c r="H336" s="991"/>
      <c r="I336" s="992"/>
      <c r="J336" s="867" t="s">
        <v>141</v>
      </c>
      <c r="K336" s="958" t="s">
        <v>140</v>
      </c>
      <c r="L336" s="959"/>
      <c r="M336" s="500" t="s">
        <v>140</v>
      </c>
      <c r="N336" s="960" t="s">
        <v>140</v>
      </c>
      <c r="O336" s="961"/>
      <c r="P336" s="498" t="s">
        <v>140</v>
      </c>
      <c r="Q336" s="498" t="s">
        <v>140</v>
      </c>
    </row>
    <row r="337" spans="1:17" ht="12.75" customHeight="1">
      <c r="A337" s="491"/>
      <c r="B337" s="1009"/>
      <c r="C337" s="981"/>
      <c r="D337" s="982"/>
      <c r="E337" s="983"/>
      <c r="F337" s="987" t="s">
        <v>279</v>
      </c>
      <c r="G337" s="988"/>
      <c r="H337" s="988"/>
      <c r="I337" s="989"/>
      <c r="J337" s="863" t="s">
        <v>206</v>
      </c>
      <c r="K337" s="975" t="s">
        <v>207</v>
      </c>
      <c r="L337" s="976"/>
      <c r="M337" s="496" t="s">
        <v>140</v>
      </c>
      <c r="N337" s="977">
        <v>132</v>
      </c>
      <c r="O337" s="961"/>
      <c r="P337" s="499">
        <v>132</v>
      </c>
      <c r="Q337" s="499">
        <v>146.66999999999999</v>
      </c>
    </row>
    <row r="338" spans="1:17" ht="12.75" customHeight="1">
      <c r="A338" s="491"/>
      <c r="B338" s="1009"/>
      <c r="C338" s="981"/>
      <c r="D338" s="982"/>
      <c r="E338" s="983"/>
      <c r="F338" s="993"/>
      <c r="G338" s="994"/>
      <c r="H338" s="994"/>
      <c r="I338" s="995"/>
      <c r="J338" s="863" t="s">
        <v>208</v>
      </c>
      <c r="K338" s="975" t="s">
        <v>209</v>
      </c>
      <c r="L338" s="976"/>
      <c r="M338" s="496" t="s">
        <v>140</v>
      </c>
      <c r="N338" s="977">
        <v>16.5</v>
      </c>
      <c r="O338" s="961"/>
      <c r="P338" s="499">
        <v>16.5</v>
      </c>
      <c r="Q338" s="499">
        <v>18.34</v>
      </c>
    </row>
    <row r="339" spans="1:17" ht="12.75" customHeight="1">
      <c r="A339" s="491"/>
      <c r="B339" s="1009"/>
      <c r="C339" s="981"/>
      <c r="D339" s="982"/>
      <c r="E339" s="983"/>
      <c r="F339" s="990"/>
      <c r="G339" s="991"/>
      <c r="H339" s="991"/>
      <c r="I339" s="992"/>
      <c r="J339" s="867" t="s">
        <v>141</v>
      </c>
      <c r="K339" s="958" t="s">
        <v>140</v>
      </c>
      <c r="L339" s="959"/>
      <c r="M339" s="500" t="s">
        <v>140</v>
      </c>
      <c r="N339" s="960" t="s">
        <v>140</v>
      </c>
      <c r="O339" s="961"/>
      <c r="P339" s="498" t="s">
        <v>140</v>
      </c>
      <c r="Q339" s="498" t="s">
        <v>140</v>
      </c>
    </row>
    <row r="340" spans="1:17" ht="12.75" customHeight="1">
      <c r="A340" s="491"/>
      <c r="B340" s="1009"/>
      <c r="C340" s="981"/>
      <c r="D340" s="982"/>
      <c r="E340" s="983"/>
      <c r="F340" s="987" t="s">
        <v>280</v>
      </c>
      <c r="G340" s="988"/>
      <c r="H340" s="988"/>
      <c r="I340" s="989"/>
      <c r="J340" s="863" t="s">
        <v>153</v>
      </c>
      <c r="K340" s="975" t="s">
        <v>154</v>
      </c>
      <c r="L340" s="976"/>
      <c r="M340" s="497">
        <v>182836.08</v>
      </c>
      <c r="N340" s="977">
        <v>52.43</v>
      </c>
      <c r="O340" s="961"/>
      <c r="P340" s="499">
        <v>52.43</v>
      </c>
      <c r="Q340" s="499">
        <v>52.43</v>
      </c>
    </row>
    <row r="341" spans="1:17" ht="12.75" customHeight="1">
      <c r="A341" s="491"/>
      <c r="B341" s="1009"/>
      <c r="C341" s="981"/>
      <c r="D341" s="982"/>
      <c r="E341" s="983"/>
      <c r="F341" s="993"/>
      <c r="G341" s="994"/>
      <c r="H341" s="994"/>
      <c r="I341" s="995"/>
      <c r="J341" s="863" t="s">
        <v>155</v>
      </c>
      <c r="K341" s="975" t="s">
        <v>156</v>
      </c>
      <c r="L341" s="976"/>
      <c r="M341" s="497">
        <v>444030.47</v>
      </c>
      <c r="N341" s="977">
        <v>78.900000000000006</v>
      </c>
      <c r="O341" s="961"/>
      <c r="P341" s="499">
        <v>78.900000000000006</v>
      </c>
      <c r="Q341" s="499">
        <v>78.900000000000006</v>
      </c>
    </row>
    <row r="342" spans="1:17" ht="12.75" customHeight="1">
      <c r="A342" s="491"/>
      <c r="B342" s="1009"/>
      <c r="C342" s="981"/>
      <c r="D342" s="982"/>
      <c r="E342" s="983"/>
      <c r="F342" s="990"/>
      <c r="G342" s="991"/>
      <c r="H342" s="991"/>
      <c r="I342" s="992"/>
      <c r="J342" s="867" t="s">
        <v>141</v>
      </c>
      <c r="K342" s="958" t="s">
        <v>140</v>
      </c>
      <c r="L342" s="959"/>
      <c r="M342" s="501">
        <v>626866.55000000005</v>
      </c>
      <c r="N342" s="960" t="s">
        <v>140</v>
      </c>
      <c r="O342" s="961"/>
      <c r="P342" s="498" t="s">
        <v>140</v>
      </c>
      <c r="Q342" s="498" t="s">
        <v>140</v>
      </c>
    </row>
    <row r="343" spans="1:17" ht="12.75" customHeight="1">
      <c r="A343" s="491"/>
      <c r="B343" s="1009"/>
      <c r="C343" s="981"/>
      <c r="D343" s="982"/>
      <c r="E343" s="983"/>
      <c r="F343" s="987" t="s">
        <v>281</v>
      </c>
      <c r="G343" s="988"/>
      <c r="H343" s="988"/>
      <c r="I343" s="989"/>
      <c r="J343" s="863" t="s">
        <v>225</v>
      </c>
      <c r="K343" s="975" t="s">
        <v>226</v>
      </c>
      <c r="L343" s="976"/>
      <c r="M343" s="497">
        <v>142730</v>
      </c>
      <c r="N343" s="977">
        <v>131.9</v>
      </c>
      <c r="O343" s="961"/>
      <c r="P343" s="499">
        <v>131.9</v>
      </c>
      <c r="Q343" s="499">
        <v>131.9</v>
      </c>
    </row>
    <row r="344" spans="1:17" ht="12.75" customHeight="1">
      <c r="A344" s="491"/>
      <c r="B344" s="1009"/>
      <c r="C344" s="981"/>
      <c r="D344" s="982"/>
      <c r="E344" s="983"/>
      <c r="F344" s="993"/>
      <c r="G344" s="994"/>
      <c r="H344" s="994"/>
      <c r="I344" s="995"/>
      <c r="J344" s="863" t="s">
        <v>227</v>
      </c>
      <c r="K344" s="975" t="s">
        <v>228</v>
      </c>
      <c r="L344" s="976"/>
      <c r="M344" s="497">
        <v>1985077.4</v>
      </c>
      <c r="N344" s="977">
        <v>0</v>
      </c>
      <c r="O344" s="961"/>
      <c r="P344" s="499">
        <v>0</v>
      </c>
      <c r="Q344" s="498" t="s">
        <v>140</v>
      </c>
    </row>
    <row r="345" spans="1:17" ht="12.75" customHeight="1">
      <c r="A345" s="491"/>
      <c r="B345" s="1009"/>
      <c r="C345" s="981"/>
      <c r="D345" s="982"/>
      <c r="E345" s="983"/>
      <c r="F345" s="990"/>
      <c r="G345" s="991"/>
      <c r="H345" s="991"/>
      <c r="I345" s="992"/>
      <c r="J345" s="867" t="s">
        <v>141</v>
      </c>
      <c r="K345" s="958" t="s">
        <v>140</v>
      </c>
      <c r="L345" s="959"/>
      <c r="M345" s="501">
        <v>2127807.4</v>
      </c>
      <c r="N345" s="960" t="s">
        <v>140</v>
      </c>
      <c r="O345" s="961"/>
      <c r="P345" s="498" t="s">
        <v>140</v>
      </c>
      <c r="Q345" s="498" t="s">
        <v>140</v>
      </c>
    </row>
    <row r="346" spans="1:17" ht="12.75" customHeight="1">
      <c r="A346" s="491"/>
      <c r="B346" s="1009"/>
      <c r="C346" s="981"/>
      <c r="D346" s="982"/>
      <c r="E346" s="983"/>
      <c r="F346" s="987" t="s">
        <v>282</v>
      </c>
      <c r="G346" s="988"/>
      <c r="H346" s="988"/>
      <c r="I346" s="989"/>
      <c r="J346" s="863" t="s">
        <v>192</v>
      </c>
      <c r="K346" s="975" t="s">
        <v>193</v>
      </c>
      <c r="L346" s="976"/>
      <c r="M346" s="496" t="s">
        <v>140</v>
      </c>
      <c r="N346" s="977">
        <v>7.9</v>
      </c>
      <c r="O346" s="961"/>
      <c r="P346" s="499">
        <v>7.9</v>
      </c>
      <c r="Q346" s="499">
        <v>14.95</v>
      </c>
    </row>
    <row r="347" spans="1:17" ht="12.75" customHeight="1">
      <c r="A347" s="491"/>
      <c r="B347" s="1009"/>
      <c r="C347" s="981"/>
      <c r="D347" s="982"/>
      <c r="E347" s="983"/>
      <c r="F347" s="993"/>
      <c r="G347" s="994"/>
      <c r="H347" s="994"/>
      <c r="I347" s="995"/>
      <c r="J347" s="863" t="s">
        <v>194</v>
      </c>
      <c r="K347" s="975" t="s">
        <v>195</v>
      </c>
      <c r="L347" s="976"/>
      <c r="M347" s="496" t="s">
        <v>140</v>
      </c>
      <c r="N347" s="977">
        <v>7.9</v>
      </c>
      <c r="O347" s="961"/>
      <c r="P347" s="499">
        <v>7.9</v>
      </c>
      <c r="Q347" s="499">
        <v>14.95</v>
      </c>
    </row>
    <row r="348" spans="1:17" ht="12.75" customHeight="1">
      <c r="A348" s="491"/>
      <c r="B348" s="1009"/>
      <c r="C348" s="981"/>
      <c r="D348" s="982"/>
      <c r="E348" s="983"/>
      <c r="F348" s="990"/>
      <c r="G348" s="991"/>
      <c r="H348" s="991"/>
      <c r="I348" s="992"/>
      <c r="J348" s="867" t="s">
        <v>141</v>
      </c>
      <c r="K348" s="958" t="s">
        <v>140</v>
      </c>
      <c r="L348" s="959"/>
      <c r="M348" s="500" t="s">
        <v>140</v>
      </c>
      <c r="N348" s="960" t="s">
        <v>140</v>
      </c>
      <c r="O348" s="961"/>
      <c r="P348" s="498" t="s">
        <v>140</v>
      </c>
      <c r="Q348" s="498" t="s">
        <v>140</v>
      </c>
    </row>
    <row r="349" spans="1:17" ht="12.75" customHeight="1">
      <c r="A349" s="491"/>
      <c r="B349" s="1009"/>
      <c r="C349" s="981"/>
      <c r="D349" s="982"/>
      <c r="E349" s="983"/>
      <c r="F349" s="987" t="s">
        <v>283</v>
      </c>
      <c r="G349" s="988"/>
      <c r="H349" s="988"/>
      <c r="I349" s="989"/>
      <c r="J349" s="863" t="s">
        <v>158</v>
      </c>
      <c r="K349" s="975" t="s">
        <v>159</v>
      </c>
      <c r="L349" s="976"/>
      <c r="M349" s="496" t="s">
        <v>140</v>
      </c>
      <c r="N349" s="977">
        <v>86.1</v>
      </c>
      <c r="O349" s="961"/>
      <c r="P349" s="499">
        <v>86.1</v>
      </c>
      <c r="Q349" s="499">
        <v>150</v>
      </c>
    </row>
    <row r="350" spans="1:17" ht="12.75" customHeight="1">
      <c r="A350" s="491"/>
      <c r="B350" s="1009"/>
      <c r="C350" s="981"/>
      <c r="D350" s="982"/>
      <c r="E350" s="983"/>
      <c r="F350" s="990"/>
      <c r="G350" s="991"/>
      <c r="H350" s="991"/>
      <c r="I350" s="992"/>
      <c r="J350" s="867" t="s">
        <v>141</v>
      </c>
      <c r="K350" s="958" t="s">
        <v>140</v>
      </c>
      <c r="L350" s="959"/>
      <c r="M350" s="500" t="s">
        <v>140</v>
      </c>
      <c r="N350" s="960" t="s">
        <v>140</v>
      </c>
      <c r="O350" s="961"/>
      <c r="P350" s="498" t="s">
        <v>140</v>
      </c>
      <c r="Q350" s="498" t="s">
        <v>140</v>
      </c>
    </row>
    <row r="351" spans="1:17" ht="12.75" customHeight="1">
      <c r="A351" s="491"/>
      <c r="B351" s="1009"/>
      <c r="C351" s="981"/>
      <c r="D351" s="982"/>
      <c r="E351" s="983"/>
      <c r="F351" s="987" t="s">
        <v>284</v>
      </c>
      <c r="G351" s="988"/>
      <c r="H351" s="988"/>
      <c r="I351" s="989"/>
      <c r="J351" s="863" t="s">
        <v>178</v>
      </c>
      <c r="K351" s="975" t="s">
        <v>179</v>
      </c>
      <c r="L351" s="976"/>
      <c r="M351" s="496" t="s">
        <v>140</v>
      </c>
      <c r="N351" s="977">
        <v>62.47</v>
      </c>
      <c r="O351" s="961"/>
      <c r="P351" s="499">
        <v>62.47</v>
      </c>
      <c r="Q351" s="499">
        <v>90</v>
      </c>
    </row>
    <row r="352" spans="1:17" ht="12.75" customHeight="1">
      <c r="A352" s="491"/>
      <c r="B352" s="1009"/>
      <c r="C352" s="981"/>
      <c r="D352" s="982"/>
      <c r="E352" s="983"/>
      <c r="F352" s="990"/>
      <c r="G352" s="991"/>
      <c r="H352" s="991"/>
      <c r="I352" s="992"/>
      <c r="J352" s="867" t="s">
        <v>141</v>
      </c>
      <c r="K352" s="958" t="s">
        <v>140</v>
      </c>
      <c r="L352" s="959"/>
      <c r="M352" s="500" t="s">
        <v>140</v>
      </c>
      <c r="N352" s="960" t="s">
        <v>140</v>
      </c>
      <c r="O352" s="961"/>
      <c r="P352" s="498" t="s">
        <v>140</v>
      </c>
      <c r="Q352" s="498" t="s">
        <v>140</v>
      </c>
    </row>
    <row r="353" spans="1:17" ht="12.75" customHeight="1">
      <c r="A353" s="491"/>
      <c r="B353" s="1009"/>
      <c r="C353" s="981"/>
      <c r="D353" s="982"/>
      <c r="E353" s="983"/>
      <c r="F353" s="987" t="s">
        <v>285</v>
      </c>
      <c r="G353" s="988"/>
      <c r="H353" s="988"/>
      <c r="I353" s="989"/>
      <c r="J353" s="863" t="s">
        <v>172</v>
      </c>
      <c r="K353" s="975" t="s">
        <v>173</v>
      </c>
      <c r="L353" s="976"/>
      <c r="M353" s="496" t="s">
        <v>140</v>
      </c>
      <c r="N353" s="977">
        <v>47.25</v>
      </c>
      <c r="O353" s="961"/>
      <c r="P353" s="499">
        <v>47.25</v>
      </c>
      <c r="Q353" s="499">
        <v>90</v>
      </c>
    </row>
    <row r="354" spans="1:17" ht="12.75" customHeight="1">
      <c r="A354" s="491"/>
      <c r="B354" s="1009"/>
      <c r="C354" s="981"/>
      <c r="D354" s="982"/>
      <c r="E354" s="983"/>
      <c r="F354" s="993"/>
      <c r="G354" s="994"/>
      <c r="H354" s="994"/>
      <c r="I354" s="995"/>
      <c r="J354" s="863" t="s">
        <v>174</v>
      </c>
      <c r="K354" s="975" t="s">
        <v>175</v>
      </c>
      <c r="L354" s="976"/>
      <c r="M354" s="496" t="s">
        <v>140</v>
      </c>
      <c r="N354" s="977">
        <v>54.49</v>
      </c>
      <c r="O354" s="961"/>
      <c r="P354" s="499">
        <v>54.49</v>
      </c>
      <c r="Q354" s="499">
        <v>90</v>
      </c>
    </row>
    <row r="355" spans="1:17" ht="12.75" customHeight="1">
      <c r="A355" s="491"/>
      <c r="B355" s="1009"/>
      <c r="C355" s="981"/>
      <c r="D355" s="982"/>
      <c r="E355" s="983"/>
      <c r="F355" s="993"/>
      <c r="G355" s="994"/>
      <c r="H355" s="994"/>
      <c r="I355" s="995"/>
      <c r="J355" s="863" t="s">
        <v>213</v>
      </c>
      <c r="K355" s="975" t="s">
        <v>214</v>
      </c>
      <c r="L355" s="976"/>
      <c r="M355" s="496" t="s">
        <v>140</v>
      </c>
      <c r="N355" s="977">
        <v>0</v>
      </c>
      <c r="O355" s="961"/>
      <c r="P355" s="499">
        <v>0</v>
      </c>
      <c r="Q355" s="498" t="s">
        <v>140</v>
      </c>
    </row>
    <row r="356" spans="1:17" ht="12.75" customHeight="1">
      <c r="A356" s="491"/>
      <c r="B356" s="1009"/>
      <c r="C356" s="981"/>
      <c r="D356" s="982"/>
      <c r="E356" s="983"/>
      <c r="F356" s="993"/>
      <c r="G356" s="994"/>
      <c r="H356" s="994"/>
      <c r="I356" s="995"/>
      <c r="J356" s="863" t="s">
        <v>215</v>
      </c>
      <c r="K356" s="975" t="s">
        <v>216</v>
      </c>
      <c r="L356" s="976"/>
      <c r="M356" s="496" t="s">
        <v>140</v>
      </c>
      <c r="N356" s="977">
        <v>0</v>
      </c>
      <c r="O356" s="961"/>
      <c r="P356" s="499">
        <v>0</v>
      </c>
      <c r="Q356" s="498" t="s">
        <v>140</v>
      </c>
    </row>
    <row r="357" spans="1:17" ht="12.75" customHeight="1">
      <c r="A357" s="491"/>
      <c r="B357" s="1009"/>
      <c r="C357" s="981"/>
      <c r="D357" s="982"/>
      <c r="E357" s="983"/>
      <c r="F357" s="993"/>
      <c r="G357" s="994"/>
      <c r="H357" s="994"/>
      <c r="I357" s="995"/>
      <c r="J357" s="863" t="s">
        <v>144</v>
      </c>
      <c r="K357" s="975" t="s">
        <v>145</v>
      </c>
      <c r="L357" s="976"/>
      <c r="M357" s="496" t="s">
        <v>140</v>
      </c>
      <c r="N357" s="977">
        <v>0</v>
      </c>
      <c r="O357" s="961"/>
      <c r="P357" s="499">
        <v>0</v>
      </c>
      <c r="Q357" s="498" t="s">
        <v>140</v>
      </c>
    </row>
    <row r="358" spans="1:17" ht="12.75" customHeight="1">
      <c r="A358" s="491"/>
      <c r="B358" s="1009"/>
      <c r="C358" s="981"/>
      <c r="D358" s="982"/>
      <c r="E358" s="983"/>
      <c r="F358" s="993"/>
      <c r="G358" s="994"/>
      <c r="H358" s="994"/>
      <c r="I358" s="995"/>
      <c r="J358" s="863" t="s">
        <v>146</v>
      </c>
      <c r="K358" s="975" t="s">
        <v>147</v>
      </c>
      <c r="L358" s="976"/>
      <c r="M358" s="496" t="s">
        <v>140</v>
      </c>
      <c r="N358" s="977">
        <v>96.59</v>
      </c>
      <c r="O358" s="961"/>
      <c r="P358" s="499">
        <v>96.59</v>
      </c>
      <c r="Q358" s="499">
        <v>150</v>
      </c>
    </row>
    <row r="359" spans="1:17" ht="12.75" customHeight="1">
      <c r="A359" s="491"/>
      <c r="B359" s="1009"/>
      <c r="C359" s="981"/>
      <c r="D359" s="982"/>
      <c r="E359" s="983"/>
      <c r="F359" s="993"/>
      <c r="G359" s="994"/>
      <c r="H359" s="994"/>
      <c r="I359" s="995"/>
      <c r="J359" s="863" t="s">
        <v>148</v>
      </c>
      <c r="K359" s="975" t="s">
        <v>149</v>
      </c>
      <c r="L359" s="976"/>
      <c r="M359" s="496" t="s">
        <v>140</v>
      </c>
      <c r="N359" s="977">
        <v>74.28</v>
      </c>
      <c r="O359" s="961"/>
      <c r="P359" s="499">
        <v>74.28</v>
      </c>
      <c r="Q359" s="499">
        <v>150</v>
      </c>
    </row>
    <row r="360" spans="1:17" ht="12.75" customHeight="1">
      <c r="A360" s="491"/>
      <c r="B360" s="1009"/>
      <c r="C360" s="981"/>
      <c r="D360" s="982"/>
      <c r="E360" s="983"/>
      <c r="F360" s="990"/>
      <c r="G360" s="991"/>
      <c r="H360" s="991"/>
      <c r="I360" s="992"/>
      <c r="J360" s="867" t="s">
        <v>141</v>
      </c>
      <c r="K360" s="958" t="s">
        <v>140</v>
      </c>
      <c r="L360" s="959"/>
      <c r="M360" s="500" t="s">
        <v>140</v>
      </c>
      <c r="N360" s="960" t="s">
        <v>140</v>
      </c>
      <c r="O360" s="961"/>
      <c r="P360" s="498" t="s">
        <v>140</v>
      </c>
      <c r="Q360" s="498" t="s">
        <v>140</v>
      </c>
    </row>
    <row r="361" spans="1:17" ht="12.75" customHeight="1">
      <c r="A361" s="491"/>
      <c r="B361" s="1009"/>
      <c r="C361" s="981"/>
      <c r="D361" s="982"/>
      <c r="E361" s="983"/>
      <c r="F361" s="987" t="s">
        <v>286</v>
      </c>
      <c r="G361" s="988"/>
      <c r="H361" s="988"/>
      <c r="I361" s="989"/>
      <c r="J361" s="863" t="s">
        <v>172</v>
      </c>
      <c r="K361" s="975" t="s">
        <v>173</v>
      </c>
      <c r="L361" s="976"/>
      <c r="M361" s="496" t="s">
        <v>140</v>
      </c>
      <c r="N361" s="977">
        <v>40</v>
      </c>
      <c r="O361" s="961"/>
      <c r="P361" s="499">
        <v>40</v>
      </c>
      <c r="Q361" s="499">
        <v>45</v>
      </c>
    </row>
    <row r="362" spans="1:17" ht="12.75" customHeight="1">
      <c r="A362" s="491"/>
      <c r="B362" s="1009"/>
      <c r="C362" s="981"/>
      <c r="D362" s="982"/>
      <c r="E362" s="983"/>
      <c r="F362" s="993"/>
      <c r="G362" s="994"/>
      <c r="H362" s="994"/>
      <c r="I362" s="995"/>
      <c r="J362" s="863" t="s">
        <v>162</v>
      </c>
      <c r="K362" s="975" t="s">
        <v>163</v>
      </c>
      <c r="L362" s="976"/>
      <c r="M362" s="496" t="s">
        <v>140</v>
      </c>
      <c r="N362" s="977">
        <v>23.4</v>
      </c>
      <c r="O362" s="961"/>
      <c r="P362" s="499">
        <v>23.4</v>
      </c>
      <c r="Q362" s="499">
        <v>26</v>
      </c>
    </row>
    <row r="363" spans="1:17" ht="12.75" customHeight="1">
      <c r="A363" s="491"/>
      <c r="B363" s="1009"/>
      <c r="C363" s="981"/>
      <c r="D363" s="982"/>
      <c r="E363" s="983"/>
      <c r="F363" s="993"/>
      <c r="G363" s="994"/>
      <c r="H363" s="994"/>
      <c r="I363" s="995"/>
      <c r="J363" s="863" t="s">
        <v>174</v>
      </c>
      <c r="K363" s="975" t="s">
        <v>175</v>
      </c>
      <c r="L363" s="976"/>
      <c r="M363" s="496" t="s">
        <v>140</v>
      </c>
      <c r="N363" s="977">
        <v>42.5</v>
      </c>
      <c r="O363" s="961"/>
      <c r="P363" s="499">
        <v>42.5</v>
      </c>
      <c r="Q363" s="499">
        <v>47</v>
      </c>
    </row>
    <row r="364" spans="1:17" ht="12.75" customHeight="1">
      <c r="A364" s="491"/>
      <c r="B364" s="1009"/>
      <c r="C364" s="981"/>
      <c r="D364" s="982"/>
      <c r="E364" s="983"/>
      <c r="F364" s="993"/>
      <c r="G364" s="994"/>
      <c r="H364" s="994"/>
      <c r="I364" s="995"/>
      <c r="J364" s="863" t="s">
        <v>164</v>
      </c>
      <c r="K364" s="975" t="s">
        <v>165</v>
      </c>
      <c r="L364" s="976"/>
      <c r="M364" s="496" t="s">
        <v>140</v>
      </c>
      <c r="N364" s="977">
        <v>24.3</v>
      </c>
      <c r="O364" s="961"/>
      <c r="P364" s="499">
        <v>24.3</v>
      </c>
      <c r="Q364" s="499">
        <v>27</v>
      </c>
    </row>
    <row r="365" spans="1:17" ht="12.75" customHeight="1">
      <c r="A365" s="491"/>
      <c r="B365" s="1009"/>
      <c r="C365" s="981"/>
      <c r="D365" s="982"/>
      <c r="E365" s="983"/>
      <c r="F365" s="993"/>
      <c r="G365" s="994"/>
      <c r="H365" s="994"/>
      <c r="I365" s="995"/>
      <c r="J365" s="863" t="s">
        <v>215</v>
      </c>
      <c r="K365" s="975" t="s">
        <v>216</v>
      </c>
      <c r="L365" s="976"/>
      <c r="M365" s="496" t="s">
        <v>140</v>
      </c>
      <c r="N365" s="977">
        <v>0</v>
      </c>
      <c r="O365" s="961"/>
      <c r="P365" s="499">
        <v>0</v>
      </c>
      <c r="Q365" s="498" t="s">
        <v>140</v>
      </c>
    </row>
    <row r="366" spans="1:17" ht="12.75" customHeight="1">
      <c r="A366" s="491"/>
      <c r="B366" s="1009"/>
      <c r="C366" s="981"/>
      <c r="D366" s="982"/>
      <c r="E366" s="983"/>
      <c r="F366" s="990"/>
      <c r="G366" s="991"/>
      <c r="H366" s="991"/>
      <c r="I366" s="992"/>
      <c r="J366" s="867" t="s">
        <v>141</v>
      </c>
      <c r="K366" s="958" t="s">
        <v>140</v>
      </c>
      <c r="L366" s="959"/>
      <c r="M366" s="500" t="s">
        <v>140</v>
      </c>
      <c r="N366" s="960" t="s">
        <v>140</v>
      </c>
      <c r="O366" s="961"/>
      <c r="P366" s="498" t="s">
        <v>140</v>
      </c>
      <c r="Q366" s="498" t="s">
        <v>140</v>
      </c>
    </row>
    <row r="367" spans="1:17" ht="12.75" customHeight="1">
      <c r="A367" s="491"/>
      <c r="B367" s="1009"/>
      <c r="C367" s="981"/>
      <c r="D367" s="982"/>
      <c r="E367" s="983"/>
      <c r="F367" s="987" t="s">
        <v>287</v>
      </c>
      <c r="G367" s="988"/>
      <c r="H367" s="988"/>
      <c r="I367" s="989"/>
      <c r="J367" s="863" t="s">
        <v>213</v>
      </c>
      <c r="K367" s="975" t="s">
        <v>214</v>
      </c>
      <c r="L367" s="976"/>
      <c r="M367" s="496" t="s">
        <v>140</v>
      </c>
      <c r="N367" s="977">
        <v>0</v>
      </c>
      <c r="O367" s="961"/>
      <c r="P367" s="499">
        <v>0</v>
      </c>
      <c r="Q367" s="498" t="s">
        <v>140</v>
      </c>
    </row>
    <row r="368" spans="1:17" ht="12.75" customHeight="1">
      <c r="A368" s="491"/>
      <c r="B368" s="1009"/>
      <c r="C368" s="981"/>
      <c r="D368" s="982"/>
      <c r="E368" s="983"/>
      <c r="F368" s="993"/>
      <c r="G368" s="994"/>
      <c r="H368" s="994"/>
      <c r="I368" s="995"/>
      <c r="J368" s="863" t="s">
        <v>215</v>
      </c>
      <c r="K368" s="975" t="s">
        <v>216</v>
      </c>
      <c r="L368" s="976"/>
      <c r="M368" s="496" t="s">
        <v>140</v>
      </c>
      <c r="N368" s="977">
        <v>0</v>
      </c>
      <c r="O368" s="961"/>
      <c r="P368" s="499">
        <v>0</v>
      </c>
      <c r="Q368" s="498" t="s">
        <v>140</v>
      </c>
    </row>
    <row r="369" spans="1:17" ht="12.75" customHeight="1">
      <c r="A369" s="491"/>
      <c r="B369" s="1009"/>
      <c r="C369" s="981"/>
      <c r="D369" s="982"/>
      <c r="E369" s="983"/>
      <c r="F369" s="993"/>
      <c r="G369" s="994"/>
      <c r="H369" s="994"/>
      <c r="I369" s="995"/>
      <c r="J369" s="863" t="s">
        <v>144</v>
      </c>
      <c r="K369" s="975" t="s">
        <v>145</v>
      </c>
      <c r="L369" s="976"/>
      <c r="M369" s="496" t="s">
        <v>140</v>
      </c>
      <c r="N369" s="977">
        <v>0</v>
      </c>
      <c r="O369" s="961"/>
      <c r="P369" s="499">
        <v>0</v>
      </c>
      <c r="Q369" s="498" t="s">
        <v>140</v>
      </c>
    </row>
    <row r="370" spans="1:17" ht="12.75" customHeight="1">
      <c r="A370" s="491"/>
      <c r="B370" s="1009"/>
      <c r="C370" s="981"/>
      <c r="D370" s="982"/>
      <c r="E370" s="983"/>
      <c r="F370" s="990"/>
      <c r="G370" s="991"/>
      <c r="H370" s="991"/>
      <c r="I370" s="992"/>
      <c r="J370" s="867" t="s">
        <v>141</v>
      </c>
      <c r="K370" s="958" t="s">
        <v>140</v>
      </c>
      <c r="L370" s="959"/>
      <c r="M370" s="500" t="s">
        <v>140</v>
      </c>
      <c r="N370" s="960" t="s">
        <v>140</v>
      </c>
      <c r="O370" s="961"/>
      <c r="P370" s="498" t="s">
        <v>140</v>
      </c>
      <c r="Q370" s="498" t="s">
        <v>140</v>
      </c>
    </row>
    <row r="371" spans="1:17" ht="12.75" customHeight="1">
      <c r="A371" s="491"/>
      <c r="B371" s="1009"/>
      <c r="C371" s="981"/>
      <c r="D371" s="982"/>
      <c r="E371" s="983"/>
      <c r="F371" s="987" t="s">
        <v>288</v>
      </c>
      <c r="G371" s="988"/>
      <c r="H371" s="988"/>
      <c r="I371" s="989"/>
      <c r="J371" s="863" t="s">
        <v>162</v>
      </c>
      <c r="K371" s="975" t="s">
        <v>163</v>
      </c>
      <c r="L371" s="976"/>
      <c r="M371" s="496" t="s">
        <v>140</v>
      </c>
      <c r="N371" s="977">
        <v>27.3</v>
      </c>
      <c r="O371" s="961"/>
      <c r="P371" s="499">
        <v>27.3</v>
      </c>
      <c r="Q371" s="499">
        <v>37.25</v>
      </c>
    </row>
    <row r="372" spans="1:17" ht="12.75" customHeight="1">
      <c r="A372" s="491"/>
      <c r="B372" s="1009"/>
      <c r="C372" s="981"/>
      <c r="D372" s="982"/>
      <c r="E372" s="983"/>
      <c r="F372" s="993"/>
      <c r="G372" s="994"/>
      <c r="H372" s="994"/>
      <c r="I372" s="995"/>
      <c r="J372" s="863" t="s">
        <v>164</v>
      </c>
      <c r="K372" s="975" t="s">
        <v>165</v>
      </c>
      <c r="L372" s="976"/>
      <c r="M372" s="496" t="s">
        <v>140</v>
      </c>
      <c r="N372" s="977">
        <v>27.3</v>
      </c>
      <c r="O372" s="961"/>
      <c r="P372" s="499">
        <v>27.3</v>
      </c>
      <c r="Q372" s="499">
        <v>37.25</v>
      </c>
    </row>
    <row r="373" spans="1:17" ht="12.75" customHeight="1">
      <c r="A373" s="491"/>
      <c r="B373" s="1009"/>
      <c r="C373" s="981"/>
      <c r="D373" s="982"/>
      <c r="E373" s="983"/>
      <c r="F373" s="993"/>
      <c r="G373" s="994"/>
      <c r="H373" s="994"/>
      <c r="I373" s="995"/>
      <c r="J373" s="863" t="s">
        <v>166</v>
      </c>
      <c r="K373" s="975" t="s">
        <v>167</v>
      </c>
      <c r="L373" s="976"/>
      <c r="M373" s="496" t="s">
        <v>140</v>
      </c>
      <c r="N373" s="977">
        <v>29.92</v>
      </c>
      <c r="O373" s="961"/>
      <c r="P373" s="499">
        <v>29.92</v>
      </c>
      <c r="Q373" s="499">
        <v>37.25</v>
      </c>
    </row>
    <row r="374" spans="1:17" ht="12.75" customHeight="1">
      <c r="A374" s="491"/>
      <c r="B374" s="1009"/>
      <c r="C374" s="981"/>
      <c r="D374" s="982"/>
      <c r="E374" s="983"/>
      <c r="F374" s="993"/>
      <c r="G374" s="994"/>
      <c r="H374" s="994"/>
      <c r="I374" s="995"/>
      <c r="J374" s="863" t="s">
        <v>168</v>
      </c>
      <c r="K374" s="975" t="s">
        <v>169</v>
      </c>
      <c r="L374" s="976"/>
      <c r="M374" s="496" t="s">
        <v>140</v>
      </c>
      <c r="N374" s="977">
        <v>29.92</v>
      </c>
      <c r="O374" s="961"/>
      <c r="P374" s="499">
        <v>29.92</v>
      </c>
      <c r="Q374" s="499">
        <v>37.25</v>
      </c>
    </row>
    <row r="375" spans="1:17" ht="12.75" customHeight="1">
      <c r="A375" s="491"/>
      <c r="B375" s="1009"/>
      <c r="C375" s="981"/>
      <c r="D375" s="982"/>
      <c r="E375" s="983"/>
      <c r="F375" s="990"/>
      <c r="G375" s="991"/>
      <c r="H375" s="991"/>
      <c r="I375" s="992"/>
      <c r="J375" s="867" t="s">
        <v>141</v>
      </c>
      <c r="K375" s="958" t="s">
        <v>140</v>
      </c>
      <c r="L375" s="959"/>
      <c r="M375" s="500" t="s">
        <v>140</v>
      </c>
      <c r="N375" s="960" t="s">
        <v>140</v>
      </c>
      <c r="O375" s="961"/>
      <c r="P375" s="498" t="s">
        <v>140</v>
      </c>
      <c r="Q375" s="498" t="s">
        <v>140</v>
      </c>
    </row>
    <row r="376" spans="1:17" ht="12.75" customHeight="1">
      <c r="A376" s="491"/>
      <c r="B376" s="1009"/>
      <c r="C376" s="981"/>
      <c r="D376" s="982"/>
      <c r="E376" s="983"/>
      <c r="F376" s="987" t="s">
        <v>289</v>
      </c>
      <c r="G376" s="988"/>
      <c r="H376" s="988"/>
      <c r="I376" s="989"/>
      <c r="J376" s="863" t="s">
        <v>162</v>
      </c>
      <c r="K376" s="975" t="s">
        <v>163</v>
      </c>
      <c r="L376" s="976"/>
      <c r="M376" s="496" t="s">
        <v>140</v>
      </c>
      <c r="N376" s="977">
        <v>27.3</v>
      </c>
      <c r="O376" s="961"/>
      <c r="P376" s="499">
        <v>27.3</v>
      </c>
      <c r="Q376" s="499">
        <v>37</v>
      </c>
    </row>
    <row r="377" spans="1:17" ht="12.75" customHeight="1">
      <c r="A377" s="491"/>
      <c r="B377" s="1009"/>
      <c r="C377" s="981"/>
      <c r="D377" s="982"/>
      <c r="E377" s="983"/>
      <c r="F377" s="993"/>
      <c r="G377" s="994"/>
      <c r="H377" s="994"/>
      <c r="I377" s="995"/>
      <c r="J377" s="863" t="s">
        <v>164</v>
      </c>
      <c r="K377" s="975" t="s">
        <v>165</v>
      </c>
      <c r="L377" s="976"/>
      <c r="M377" s="496" t="s">
        <v>140</v>
      </c>
      <c r="N377" s="977">
        <v>27.3</v>
      </c>
      <c r="O377" s="961"/>
      <c r="P377" s="499">
        <v>27.3</v>
      </c>
      <c r="Q377" s="499">
        <v>37</v>
      </c>
    </row>
    <row r="378" spans="1:17" ht="12.75" customHeight="1">
      <c r="A378" s="491"/>
      <c r="B378" s="1009"/>
      <c r="C378" s="981"/>
      <c r="D378" s="982"/>
      <c r="E378" s="983"/>
      <c r="F378" s="993"/>
      <c r="G378" s="994"/>
      <c r="H378" s="994"/>
      <c r="I378" s="995"/>
      <c r="J378" s="863" t="s">
        <v>166</v>
      </c>
      <c r="K378" s="975" t="s">
        <v>167</v>
      </c>
      <c r="L378" s="976"/>
      <c r="M378" s="496" t="s">
        <v>140</v>
      </c>
      <c r="N378" s="977">
        <v>29.92</v>
      </c>
      <c r="O378" s="961"/>
      <c r="P378" s="499">
        <v>29.92</v>
      </c>
      <c r="Q378" s="499">
        <v>39</v>
      </c>
    </row>
    <row r="379" spans="1:17" ht="12.75" customHeight="1">
      <c r="A379" s="491"/>
      <c r="B379" s="1009"/>
      <c r="C379" s="981"/>
      <c r="D379" s="982"/>
      <c r="E379" s="983"/>
      <c r="F379" s="993"/>
      <c r="G379" s="994"/>
      <c r="H379" s="994"/>
      <c r="I379" s="995"/>
      <c r="J379" s="863" t="s">
        <v>168</v>
      </c>
      <c r="K379" s="975" t="s">
        <v>169</v>
      </c>
      <c r="L379" s="976"/>
      <c r="M379" s="496" t="s">
        <v>140</v>
      </c>
      <c r="N379" s="977">
        <v>29.92</v>
      </c>
      <c r="O379" s="961"/>
      <c r="P379" s="499">
        <v>29.92</v>
      </c>
      <c r="Q379" s="499">
        <v>39</v>
      </c>
    </row>
    <row r="380" spans="1:17" ht="12.75" customHeight="1">
      <c r="A380" s="491"/>
      <c r="B380" s="1009"/>
      <c r="C380" s="981"/>
      <c r="D380" s="982"/>
      <c r="E380" s="983"/>
      <c r="F380" s="990"/>
      <c r="G380" s="991"/>
      <c r="H380" s="991"/>
      <c r="I380" s="992"/>
      <c r="J380" s="867" t="s">
        <v>141</v>
      </c>
      <c r="K380" s="958" t="s">
        <v>140</v>
      </c>
      <c r="L380" s="959"/>
      <c r="M380" s="500" t="s">
        <v>140</v>
      </c>
      <c r="N380" s="960" t="s">
        <v>140</v>
      </c>
      <c r="O380" s="961"/>
      <c r="P380" s="498" t="s">
        <v>140</v>
      </c>
      <c r="Q380" s="498" t="s">
        <v>140</v>
      </c>
    </row>
    <row r="381" spans="1:17" ht="12.75" customHeight="1">
      <c r="A381" s="491"/>
      <c r="B381" s="1009"/>
      <c r="C381" s="981"/>
      <c r="D381" s="982"/>
      <c r="E381" s="983"/>
      <c r="F381" s="987" t="s">
        <v>290</v>
      </c>
      <c r="G381" s="988"/>
      <c r="H381" s="988"/>
      <c r="I381" s="989"/>
      <c r="J381" s="863" t="s">
        <v>162</v>
      </c>
      <c r="K381" s="975" t="s">
        <v>163</v>
      </c>
      <c r="L381" s="976"/>
      <c r="M381" s="496" t="s">
        <v>140</v>
      </c>
      <c r="N381" s="977">
        <v>27.3</v>
      </c>
      <c r="O381" s="961"/>
      <c r="P381" s="499">
        <v>27.3</v>
      </c>
      <c r="Q381" s="499">
        <v>33</v>
      </c>
    </row>
    <row r="382" spans="1:17" ht="12.75" customHeight="1">
      <c r="A382" s="491"/>
      <c r="B382" s="1009"/>
      <c r="C382" s="981"/>
      <c r="D382" s="982"/>
      <c r="E382" s="983"/>
      <c r="F382" s="993"/>
      <c r="G382" s="994"/>
      <c r="H382" s="994"/>
      <c r="I382" s="995"/>
      <c r="J382" s="863" t="s">
        <v>164</v>
      </c>
      <c r="K382" s="975" t="s">
        <v>165</v>
      </c>
      <c r="L382" s="976"/>
      <c r="M382" s="496" t="s">
        <v>140</v>
      </c>
      <c r="N382" s="977">
        <v>27.3</v>
      </c>
      <c r="O382" s="961"/>
      <c r="P382" s="499">
        <v>27.3</v>
      </c>
      <c r="Q382" s="499">
        <v>33</v>
      </c>
    </row>
    <row r="383" spans="1:17" ht="12.75" customHeight="1">
      <c r="A383" s="491"/>
      <c r="B383" s="1009"/>
      <c r="C383" s="981"/>
      <c r="D383" s="982"/>
      <c r="E383" s="983"/>
      <c r="F383" s="993"/>
      <c r="G383" s="994"/>
      <c r="H383" s="994"/>
      <c r="I383" s="995"/>
      <c r="J383" s="863" t="s">
        <v>166</v>
      </c>
      <c r="K383" s="975" t="s">
        <v>167</v>
      </c>
      <c r="L383" s="976"/>
      <c r="M383" s="496" t="s">
        <v>140</v>
      </c>
      <c r="N383" s="977">
        <v>29.7</v>
      </c>
      <c r="O383" s="961"/>
      <c r="P383" s="499">
        <v>29.7</v>
      </c>
      <c r="Q383" s="499">
        <v>33</v>
      </c>
    </row>
    <row r="384" spans="1:17" ht="12.75" customHeight="1">
      <c r="A384" s="491"/>
      <c r="B384" s="1009"/>
      <c r="C384" s="981"/>
      <c r="D384" s="982"/>
      <c r="E384" s="983"/>
      <c r="F384" s="993"/>
      <c r="G384" s="994"/>
      <c r="H384" s="994"/>
      <c r="I384" s="995"/>
      <c r="J384" s="863" t="s">
        <v>168</v>
      </c>
      <c r="K384" s="975" t="s">
        <v>169</v>
      </c>
      <c r="L384" s="976"/>
      <c r="M384" s="496" t="s">
        <v>140</v>
      </c>
      <c r="N384" s="977">
        <v>29.7</v>
      </c>
      <c r="O384" s="961"/>
      <c r="P384" s="499">
        <v>29.7</v>
      </c>
      <c r="Q384" s="499">
        <v>33</v>
      </c>
    </row>
    <row r="385" spans="1:17" ht="12.75" customHeight="1">
      <c r="A385" s="491"/>
      <c r="B385" s="1009"/>
      <c r="C385" s="981"/>
      <c r="D385" s="982"/>
      <c r="E385" s="983"/>
      <c r="F385" s="990"/>
      <c r="G385" s="991"/>
      <c r="H385" s="991"/>
      <c r="I385" s="992"/>
      <c r="J385" s="867" t="s">
        <v>141</v>
      </c>
      <c r="K385" s="958" t="s">
        <v>140</v>
      </c>
      <c r="L385" s="959"/>
      <c r="M385" s="500" t="s">
        <v>140</v>
      </c>
      <c r="N385" s="960" t="s">
        <v>140</v>
      </c>
      <c r="O385" s="961"/>
      <c r="P385" s="498" t="s">
        <v>140</v>
      </c>
      <c r="Q385" s="498" t="s">
        <v>140</v>
      </c>
    </row>
    <row r="386" spans="1:17" ht="12.75" customHeight="1">
      <c r="A386" s="491"/>
      <c r="B386" s="1009"/>
      <c r="C386" s="981"/>
      <c r="D386" s="982"/>
      <c r="E386" s="983"/>
      <c r="F386" s="987" t="s">
        <v>291</v>
      </c>
      <c r="G386" s="988"/>
      <c r="H386" s="988"/>
      <c r="I386" s="989"/>
      <c r="J386" s="863" t="s">
        <v>162</v>
      </c>
      <c r="K386" s="975" t="s">
        <v>163</v>
      </c>
      <c r="L386" s="976"/>
      <c r="M386" s="496" t="s">
        <v>140</v>
      </c>
      <c r="N386" s="977">
        <v>27.3</v>
      </c>
      <c r="O386" s="961"/>
      <c r="P386" s="499">
        <v>27.3</v>
      </c>
      <c r="Q386" s="499">
        <v>31.11</v>
      </c>
    </row>
    <row r="387" spans="1:17" ht="12.75" customHeight="1">
      <c r="A387" s="491"/>
      <c r="B387" s="1009"/>
      <c r="C387" s="981"/>
      <c r="D387" s="982"/>
      <c r="E387" s="983"/>
      <c r="F387" s="993"/>
      <c r="G387" s="994"/>
      <c r="H387" s="994"/>
      <c r="I387" s="995"/>
      <c r="J387" s="863" t="s">
        <v>164</v>
      </c>
      <c r="K387" s="975" t="s">
        <v>165</v>
      </c>
      <c r="L387" s="976"/>
      <c r="M387" s="496" t="s">
        <v>140</v>
      </c>
      <c r="N387" s="977">
        <v>27.3</v>
      </c>
      <c r="O387" s="961"/>
      <c r="P387" s="499">
        <v>27.3</v>
      </c>
      <c r="Q387" s="499">
        <v>31.11</v>
      </c>
    </row>
    <row r="388" spans="1:17" ht="12.75" customHeight="1">
      <c r="A388" s="491"/>
      <c r="B388" s="1009"/>
      <c r="C388" s="981"/>
      <c r="D388" s="982"/>
      <c r="E388" s="983"/>
      <c r="F388" s="993"/>
      <c r="G388" s="994"/>
      <c r="H388" s="994"/>
      <c r="I388" s="995"/>
      <c r="J388" s="863" t="s">
        <v>166</v>
      </c>
      <c r="K388" s="975" t="s">
        <v>167</v>
      </c>
      <c r="L388" s="976"/>
      <c r="M388" s="496" t="s">
        <v>140</v>
      </c>
      <c r="N388" s="977">
        <v>28</v>
      </c>
      <c r="O388" s="961"/>
      <c r="P388" s="499">
        <v>28</v>
      </c>
      <c r="Q388" s="499">
        <v>31.11</v>
      </c>
    </row>
    <row r="389" spans="1:17" ht="12.75" customHeight="1">
      <c r="A389" s="491"/>
      <c r="B389" s="1009"/>
      <c r="C389" s="981"/>
      <c r="D389" s="982"/>
      <c r="E389" s="983"/>
      <c r="F389" s="993"/>
      <c r="G389" s="994"/>
      <c r="H389" s="994"/>
      <c r="I389" s="995"/>
      <c r="J389" s="863" t="s">
        <v>168</v>
      </c>
      <c r="K389" s="975" t="s">
        <v>169</v>
      </c>
      <c r="L389" s="976"/>
      <c r="M389" s="496" t="s">
        <v>140</v>
      </c>
      <c r="N389" s="977">
        <v>28</v>
      </c>
      <c r="O389" s="961"/>
      <c r="P389" s="499">
        <v>28</v>
      </c>
      <c r="Q389" s="499">
        <v>31.11</v>
      </c>
    </row>
    <row r="390" spans="1:17" ht="12.75" customHeight="1">
      <c r="A390" s="491"/>
      <c r="B390" s="1009"/>
      <c r="C390" s="981"/>
      <c r="D390" s="982"/>
      <c r="E390" s="983"/>
      <c r="F390" s="990"/>
      <c r="G390" s="991"/>
      <c r="H390" s="991"/>
      <c r="I390" s="992"/>
      <c r="J390" s="867" t="s">
        <v>141</v>
      </c>
      <c r="K390" s="958" t="s">
        <v>140</v>
      </c>
      <c r="L390" s="959"/>
      <c r="M390" s="500" t="s">
        <v>140</v>
      </c>
      <c r="N390" s="960" t="s">
        <v>140</v>
      </c>
      <c r="O390" s="961"/>
      <c r="P390" s="498" t="s">
        <v>140</v>
      </c>
      <c r="Q390" s="498" t="s">
        <v>140</v>
      </c>
    </row>
    <row r="391" spans="1:17" ht="12.75" customHeight="1">
      <c r="A391" s="491"/>
      <c r="B391" s="1009"/>
      <c r="C391" s="981"/>
      <c r="D391" s="982"/>
      <c r="E391" s="983"/>
      <c r="F391" s="987" t="s">
        <v>292</v>
      </c>
      <c r="G391" s="988"/>
      <c r="H391" s="988"/>
      <c r="I391" s="989"/>
      <c r="J391" s="863" t="s">
        <v>162</v>
      </c>
      <c r="K391" s="975" t="s">
        <v>163</v>
      </c>
      <c r="L391" s="976"/>
      <c r="M391" s="496" t="s">
        <v>140</v>
      </c>
      <c r="N391" s="977">
        <v>25.65</v>
      </c>
      <c r="O391" s="961"/>
      <c r="P391" s="499">
        <v>25.65</v>
      </c>
      <c r="Q391" s="499">
        <v>28.5</v>
      </c>
    </row>
    <row r="392" spans="1:17" ht="12.75" customHeight="1">
      <c r="A392" s="491"/>
      <c r="B392" s="1009"/>
      <c r="C392" s="981"/>
      <c r="D392" s="982"/>
      <c r="E392" s="983"/>
      <c r="F392" s="993"/>
      <c r="G392" s="994"/>
      <c r="H392" s="994"/>
      <c r="I392" s="995"/>
      <c r="J392" s="863" t="s">
        <v>164</v>
      </c>
      <c r="K392" s="975" t="s">
        <v>165</v>
      </c>
      <c r="L392" s="976"/>
      <c r="M392" s="496" t="s">
        <v>140</v>
      </c>
      <c r="N392" s="977">
        <v>25.65</v>
      </c>
      <c r="O392" s="961"/>
      <c r="P392" s="499">
        <v>25.65</v>
      </c>
      <c r="Q392" s="499">
        <v>28.5</v>
      </c>
    </row>
    <row r="393" spans="1:17" ht="12.75" customHeight="1">
      <c r="A393" s="491"/>
      <c r="B393" s="1009"/>
      <c r="C393" s="981"/>
      <c r="D393" s="982"/>
      <c r="E393" s="983"/>
      <c r="F393" s="993"/>
      <c r="G393" s="994"/>
      <c r="H393" s="994"/>
      <c r="I393" s="995"/>
      <c r="J393" s="863" t="s">
        <v>178</v>
      </c>
      <c r="K393" s="975" t="s">
        <v>179</v>
      </c>
      <c r="L393" s="976"/>
      <c r="M393" s="496" t="s">
        <v>140</v>
      </c>
      <c r="N393" s="977">
        <v>56.7</v>
      </c>
      <c r="O393" s="961"/>
      <c r="P393" s="499">
        <v>56.7</v>
      </c>
      <c r="Q393" s="499">
        <v>75</v>
      </c>
    </row>
    <row r="394" spans="1:17" ht="12.75" customHeight="1">
      <c r="A394" s="491"/>
      <c r="B394" s="1009"/>
      <c r="C394" s="981"/>
      <c r="D394" s="982"/>
      <c r="E394" s="983"/>
      <c r="F394" s="993"/>
      <c r="G394" s="994"/>
      <c r="H394" s="994"/>
      <c r="I394" s="995"/>
      <c r="J394" s="863" t="s">
        <v>166</v>
      </c>
      <c r="K394" s="975" t="s">
        <v>167</v>
      </c>
      <c r="L394" s="976"/>
      <c r="M394" s="496" t="s">
        <v>140</v>
      </c>
      <c r="N394" s="977">
        <v>27.58</v>
      </c>
      <c r="O394" s="961"/>
      <c r="P394" s="499">
        <v>27.58</v>
      </c>
      <c r="Q394" s="499">
        <v>30.7</v>
      </c>
    </row>
    <row r="395" spans="1:17" ht="12.75" customHeight="1">
      <c r="A395" s="491"/>
      <c r="B395" s="1009"/>
      <c r="C395" s="981"/>
      <c r="D395" s="982"/>
      <c r="E395" s="983"/>
      <c r="F395" s="993"/>
      <c r="G395" s="994"/>
      <c r="H395" s="994"/>
      <c r="I395" s="995"/>
      <c r="J395" s="863" t="s">
        <v>168</v>
      </c>
      <c r="K395" s="975" t="s">
        <v>169</v>
      </c>
      <c r="L395" s="976"/>
      <c r="M395" s="496" t="s">
        <v>140</v>
      </c>
      <c r="N395" s="977">
        <v>27.58</v>
      </c>
      <c r="O395" s="961"/>
      <c r="P395" s="499">
        <v>27.58</v>
      </c>
      <c r="Q395" s="499">
        <v>31</v>
      </c>
    </row>
    <row r="396" spans="1:17" ht="12.75" customHeight="1">
      <c r="A396" s="491"/>
      <c r="B396" s="1009"/>
      <c r="C396" s="981"/>
      <c r="D396" s="982"/>
      <c r="E396" s="983"/>
      <c r="F396" s="990"/>
      <c r="G396" s="991"/>
      <c r="H396" s="991"/>
      <c r="I396" s="992"/>
      <c r="J396" s="867" t="s">
        <v>141</v>
      </c>
      <c r="K396" s="958" t="s">
        <v>140</v>
      </c>
      <c r="L396" s="959"/>
      <c r="M396" s="500" t="s">
        <v>140</v>
      </c>
      <c r="N396" s="960" t="s">
        <v>140</v>
      </c>
      <c r="O396" s="961"/>
      <c r="P396" s="498" t="s">
        <v>140</v>
      </c>
      <c r="Q396" s="498" t="s">
        <v>140</v>
      </c>
    </row>
    <row r="397" spans="1:17" ht="12.75" customHeight="1">
      <c r="A397" s="491"/>
      <c r="B397" s="1009"/>
      <c r="C397" s="981"/>
      <c r="D397" s="982"/>
      <c r="E397" s="983"/>
      <c r="F397" s="987" t="s">
        <v>293</v>
      </c>
      <c r="G397" s="988"/>
      <c r="H397" s="988"/>
      <c r="I397" s="989"/>
      <c r="J397" s="863" t="s">
        <v>162</v>
      </c>
      <c r="K397" s="975" t="s">
        <v>163</v>
      </c>
      <c r="L397" s="976"/>
      <c r="M397" s="496" t="s">
        <v>140</v>
      </c>
      <c r="N397" s="977">
        <v>27</v>
      </c>
      <c r="O397" s="961"/>
      <c r="P397" s="499">
        <v>27</v>
      </c>
      <c r="Q397" s="499">
        <v>30</v>
      </c>
    </row>
    <row r="398" spans="1:17" ht="12.75" customHeight="1">
      <c r="A398" s="491"/>
      <c r="B398" s="1009"/>
      <c r="C398" s="981"/>
      <c r="D398" s="982"/>
      <c r="E398" s="983"/>
      <c r="F398" s="993"/>
      <c r="G398" s="994"/>
      <c r="H398" s="994"/>
      <c r="I398" s="995"/>
      <c r="J398" s="863" t="s">
        <v>164</v>
      </c>
      <c r="K398" s="975" t="s">
        <v>165</v>
      </c>
      <c r="L398" s="976"/>
      <c r="M398" s="496" t="s">
        <v>140</v>
      </c>
      <c r="N398" s="977">
        <v>27</v>
      </c>
      <c r="O398" s="961"/>
      <c r="P398" s="499">
        <v>27</v>
      </c>
      <c r="Q398" s="499">
        <v>30</v>
      </c>
    </row>
    <row r="399" spans="1:17" ht="12.75" customHeight="1">
      <c r="A399" s="491"/>
      <c r="B399" s="1009"/>
      <c r="C399" s="981"/>
      <c r="D399" s="982"/>
      <c r="E399" s="983"/>
      <c r="F399" s="993"/>
      <c r="G399" s="994"/>
      <c r="H399" s="994"/>
      <c r="I399" s="995"/>
      <c r="J399" s="863" t="s">
        <v>166</v>
      </c>
      <c r="K399" s="975" t="s">
        <v>167</v>
      </c>
      <c r="L399" s="976"/>
      <c r="M399" s="496" t="s">
        <v>140</v>
      </c>
      <c r="N399" s="977">
        <v>29.92</v>
      </c>
      <c r="O399" s="961"/>
      <c r="P399" s="499">
        <v>29.92</v>
      </c>
      <c r="Q399" s="499">
        <v>35</v>
      </c>
    </row>
    <row r="400" spans="1:17" ht="12.75" customHeight="1">
      <c r="A400" s="491"/>
      <c r="B400" s="1009"/>
      <c r="C400" s="981"/>
      <c r="D400" s="982"/>
      <c r="E400" s="983"/>
      <c r="F400" s="993"/>
      <c r="G400" s="994"/>
      <c r="H400" s="994"/>
      <c r="I400" s="995"/>
      <c r="J400" s="863" t="s">
        <v>168</v>
      </c>
      <c r="K400" s="975" t="s">
        <v>169</v>
      </c>
      <c r="L400" s="976"/>
      <c r="M400" s="496" t="s">
        <v>140</v>
      </c>
      <c r="N400" s="977">
        <v>29.92</v>
      </c>
      <c r="O400" s="961"/>
      <c r="P400" s="499">
        <v>29.92</v>
      </c>
      <c r="Q400" s="499">
        <v>35</v>
      </c>
    </row>
    <row r="401" spans="1:17" ht="12.75" customHeight="1">
      <c r="A401" s="491"/>
      <c r="B401" s="1009"/>
      <c r="C401" s="981"/>
      <c r="D401" s="982"/>
      <c r="E401" s="983"/>
      <c r="F401" s="990"/>
      <c r="G401" s="991"/>
      <c r="H401" s="991"/>
      <c r="I401" s="992"/>
      <c r="J401" s="867" t="s">
        <v>141</v>
      </c>
      <c r="K401" s="958" t="s">
        <v>140</v>
      </c>
      <c r="L401" s="959"/>
      <c r="M401" s="500" t="s">
        <v>140</v>
      </c>
      <c r="N401" s="960" t="s">
        <v>140</v>
      </c>
      <c r="O401" s="961"/>
      <c r="P401" s="498" t="s">
        <v>140</v>
      </c>
      <c r="Q401" s="498" t="s">
        <v>140</v>
      </c>
    </row>
    <row r="402" spans="1:17" ht="12.75" customHeight="1">
      <c r="A402" s="491"/>
      <c r="B402" s="1009"/>
      <c r="C402" s="981"/>
      <c r="D402" s="982"/>
      <c r="E402" s="983"/>
      <c r="F402" s="987" t="s">
        <v>294</v>
      </c>
      <c r="G402" s="988"/>
      <c r="H402" s="988"/>
      <c r="I402" s="989"/>
      <c r="J402" s="863" t="s">
        <v>231</v>
      </c>
      <c r="K402" s="975" t="s">
        <v>232</v>
      </c>
      <c r="L402" s="976"/>
      <c r="M402" s="496" t="s">
        <v>140</v>
      </c>
      <c r="N402" s="977">
        <v>85.33</v>
      </c>
      <c r="O402" s="961"/>
      <c r="P402" s="499">
        <v>85.33</v>
      </c>
      <c r="Q402" s="499">
        <v>95</v>
      </c>
    </row>
    <row r="403" spans="1:17" ht="12.75" customHeight="1">
      <c r="A403" s="491"/>
      <c r="B403" s="1009"/>
      <c r="C403" s="981"/>
      <c r="D403" s="982"/>
      <c r="E403" s="983"/>
      <c r="F403" s="993"/>
      <c r="G403" s="994"/>
      <c r="H403" s="994"/>
      <c r="I403" s="995"/>
      <c r="J403" s="863" t="s">
        <v>158</v>
      </c>
      <c r="K403" s="975" t="s">
        <v>159</v>
      </c>
      <c r="L403" s="976"/>
      <c r="M403" s="496" t="s">
        <v>140</v>
      </c>
      <c r="N403" s="977">
        <v>86.1</v>
      </c>
      <c r="O403" s="961"/>
      <c r="P403" s="499">
        <v>86.1</v>
      </c>
      <c r="Q403" s="499">
        <v>95</v>
      </c>
    </row>
    <row r="404" spans="1:17" ht="12.75" customHeight="1">
      <c r="A404" s="491"/>
      <c r="B404" s="1009"/>
      <c r="C404" s="981"/>
      <c r="D404" s="982"/>
      <c r="E404" s="983"/>
      <c r="F404" s="993"/>
      <c r="G404" s="994"/>
      <c r="H404" s="994"/>
      <c r="I404" s="995"/>
      <c r="J404" s="863" t="s">
        <v>258</v>
      </c>
      <c r="K404" s="975" t="s">
        <v>259</v>
      </c>
      <c r="L404" s="976"/>
      <c r="M404" s="496" t="s">
        <v>140</v>
      </c>
      <c r="N404" s="977">
        <v>62.45</v>
      </c>
      <c r="O404" s="961"/>
      <c r="P404" s="499">
        <v>62.45</v>
      </c>
      <c r="Q404" s="499">
        <v>69</v>
      </c>
    </row>
    <row r="405" spans="1:17" ht="12.75" customHeight="1">
      <c r="A405" s="491"/>
      <c r="B405" s="1009"/>
      <c r="C405" s="981"/>
      <c r="D405" s="982"/>
      <c r="E405" s="983"/>
      <c r="F405" s="990"/>
      <c r="G405" s="991"/>
      <c r="H405" s="991"/>
      <c r="I405" s="992"/>
      <c r="J405" s="867" t="s">
        <v>141</v>
      </c>
      <c r="K405" s="958" t="s">
        <v>140</v>
      </c>
      <c r="L405" s="959"/>
      <c r="M405" s="500" t="s">
        <v>140</v>
      </c>
      <c r="N405" s="960" t="s">
        <v>140</v>
      </c>
      <c r="O405" s="961"/>
      <c r="P405" s="498" t="s">
        <v>140</v>
      </c>
      <c r="Q405" s="498" t="s">
        <v>140</v>
      </c>
    </row>
    <row r="406" spans="1:17" ht="12.75" customHeight="1">
      <c r="A406" s="491"/>
      <c r="B406" s="1009"/>
      <c r="C406" s="981"/>
      <c r="D406" s="982"/>
      <c r="E406" s="983"/>
      <c r="F406" s="987" t="s">
        <v>295</v>
      </c>
      <c r="G406" s="988"/>
      <c r="H406" s="988"/>
      <c r="I406" s="989"/>
      <c r="J406" s="863" t="s">
        <v>162</v>
      </c>
      <c r="K406" s="975" t="s">
        <v>163</v>
      </c>
      <c r="L406" s="976"/>
      <c r="M406" s="496" t="s">
        <v>140</v>
      </c>
      <c r="N406" s="977">
        <v>27.3</v>
      </c>
      <c r="O406" s="961"/>
      <c r="P406" s="499">
        <v>27.3</v>
      </c>
      <c r="Q406" s="499">
        <v>32</v>
      </c>
    </row>
    <row r="407" spans="1:17" ht="12.75" customHeight="1">
      <c r="A407" s="491"/>
      <c r="B407" s="1009"/>
      <c r="C407" s="981"/>
      <c r="D407" s="982"/>
      <c r="E407" s="983"/>
      <c r="F407" s="993"/>
      <c r="G407" s="994"/>
      <c r="H407" s="994"/>
      <c r="I407" s="995"/>
      <c r="J407" s="863" t="s">
        <v>164</v>
      </c>
      <c r="K407" s="975" t="s">
        <v>165</v>
      </c>
      <c r="L407" s="976"/>
      <c r="M407" s="496" t="s">
        <v>140</v>
      </c>
      <c r="N407" s="977">
        <v>27.3</v>
      </c>
      <c r="O407" s="961"/>
      <c r="P407" s="499">
        <v>27.3</v>
      </c>
      <c r="Q407" s="499">
        <v>32</v>
      </c>
    </row>
    <row r="408" spans="1:17" ht="12.75" customHeight="1">
      <c r="A408" s="491"/>
      <c r="B408" s="1009"/>
      <c r="C408" s="981"/>
      <c r="D408" s="982"/>
      <c r="E408" s="983"/>
      <c r="F408" s="993"/>
      <c r="G408" s="994"/>
      <c r="H408" s="994"/>
      <c r="I408" s="995"/>
      <c r="J408" s="863" t="s">
        <v>166</v>
      </c>
      <c r="K408" s="975" t="s">
        <v>167</v>
      </c>
      <c r="L408" s="976"/>
      <c r="M408" s="496" t="s">
        <v>140</v>
      </c>
      <c r="N408" s="977">
        <v>29.92</v>
      </c>
      <c r="O408" s="961"/>
      <c r="P408" s="499">
        <v>29.92</v>
      </c>
      <c r="Q408" s="499">
        <v>36</v>
      </c>
    </row>
    <row r="409" spans="1:17" ht="12.75" customHeight="1">
      <c r="A409" s="491"/>
      <c r="B409" s="1009"/>
      <c r="C409" s="981"/>
      <c r="D409" s="982"/>
      <c r="E409" s="983"/>
      <c r="F409" s="993"/>
      <c r="G409" s="994"/>
      <c r="H409" s="994"/>
      <c r="I409" s="995"/>
      <c r="J409" s="863" t="s">
        <v>168</v>
      </c>
      <c r="K409" s="975" t="s">
        <v>169</v>
      </c>
      <c r="L409" s="976"/>
      <c r="M409" s="496" t="s">
        <v>140</v>
      </c>
      <c r="N409" s="977">
        <v>29.92</v>
      </c>
      <c r="O409" s="961"/>
      <c r="P409" s="499">
        <v>29.92</v>
      </c>
      <c r="Q409" s="499">
        <v>36</v>
      </c>
    </row>
    <row r="410" spans="1:17" ht="12.75" customHeight="1">
      <c r="A410" s="491"/>
      <c r="B410" s="1009"/>
      <c r="C410" s="981"/>
      <c r="D410" s="982"/>
      <c r="E410" s="983"/>
      <c r="F410" s="990"/>
      <c r="G410" s="991"/>
      <c r="H410" s="991"/>
      <c r="I410" s="992"/>
      <c r="J410" s="867" t="s">
        <v>141</v>
      </c>
      <c r="K410" s="958" t="s">
        <v>140</v>
      </c>
      <c r="L410" s="959"/>
      <c r="M410" s="500" t="s">
        <v>140</v>
      </c>
      <c r="N410" s="960" t="s">
        <v>140</v>
      </c>
      <c r="O410" s="961"/>
      <c r="P410" s="498" t="s">
        <v>140</v>
      </c>
      <c r="Q410" s="498" t="s">
        <v>140</v>
      </c>
    </row>
    <row r="411" spans="1:17" ht="12.75" customHeight="1">
      <c r="A411" s="491"/>
      <c r="B411" s="1009"/>
      <c r="C411" s="981"/>
      <c r="D411" s="982"/>
      <c r="E411" s="983"/>
      <c r="F411" s="987" t="s">
        <v>296</v>
      </c>
      <c r="G411" s="988"/>
      <c r="H411" s="988"/>
      <c r="I411" s="989"/>
      <c r="J411" s="863" t="s">
        <v>162</v>
      </c>
      <c r="K411" s="975" t="s">
        <v>163</v>
      </c>
      <c r="L411" s="976"/>
      <c r="M411" s="496" t="s">
        <v>140</v>
      </c>
      <c r="N411" s="977">
        <v>26</v>
      </c>
      <c r="O411" s="961"/>
      <c r="P411" s="499">
        <v>26</v>
      </c>
      <c r="Q411" s="499">
        <v>26</v>
      </c>
    </row>
    <row r="412" spans="1:17" ht="12.75" customHeight="1">
      <c r="A412" s="491"/>
      <c r="B412" s="1009"/>
      <c r="C412" s="981"/>
      <c r="D412" s="982"/>
      <c r="E412" s="983"/>
      <c r="F412" s="993"/>
      <c r="G412" s="994"/>
      <c r="H412" s="994"/>
      <c r="I412" s="995"/>
      <c r="J412" s="863" t="s">
        <v>164</v>
      </c>
      <c r="K412" s="975" t="s">
        <v>165</v>
      </c>
      <c r="L412" s="976"/>
      <c r="M412" s="496" t="s">
        <v>140</v>
      </c>
      <c r="N412" s="977">
        <v>26</v>
      </c>
      <c r="O412" s="961"/>
      <c r="P412" s="499">
        <v>26</v>
      </c>
      <c r="Q412" s="499">
        <v>26</v>
      </c>
    </row>
    <row r="413" spans="1:17" ht="12.75" customHeight="1">
      <c r="A413" s="491"/>
      <c r="B413" s="1009"/>
      <c r="C413" s="981"/>
      <c r="D413" s="982"/>
      <c r="E413" s="983"/>
      <c r="F413" s="993"/>
      <c r="G413" s="994"/>
      <c r="H413" s="994"/>
      <c r="I413" s="995"/>
      <c r="J413" s="863" t="s">
        <v>178</v>
      </c>
      <c r="K413" s="975" t="s">
        <v>179</v>
      </c>
      <c r="L413" s="976"/>
      <c r="M413" s="496" t="s">
        <v>140</v>
      </c>
      <c r="N413" s="977">
        <v>62.47</v>
      </c>
      <c r="O413" s="961"/>
      <c r="P413" s="499">
        <v>62.47</v>
      </c>
      <c r="Q413" s="499">
        <v>62.47</v>
      </c>
    </row>
    <row r="414" spans="1:17" ht="12.75" customHeight="1">
      <c r="A414" s="491"/>
      <c r="B414" s="1009"/>
      <c r="C414" s="981"/>
      <c r="D414" s="982"/>
      <c r="E414" s="983"/>
      <c r="F414" s="993"/>
      <c r="G414" s="994"/>
      <c r="H414" s="994"/>
      <c r="I414" s="995"/>
      <c r="J414" s="863" t="s">
        <v>166</v>
      </c>
      <c r="K414" s="975" t="s">
        <v>167</v>
      </c>
      <c r="L414" s="976"/>
      <c r="M414" s="496" t="s">
        <v>140</v>
      </c>
      <c r="N414" s="977">
        <v>27</v>
      </c>
      <c r="O414" s="961"/>
      <c r="P414" s="499">
        <v>27</v>
      </c>
      <c r="Q414" s="499">
        <v>27</v>
      </c>
    </row>
    <row r="415" spans="1:17" ht="12.75" customHeight="1">
      <c r="A415" s="491"/>
      <c r="B415" s="1009"/>
      <c r="C415" s="981"/>
      <c r="D415" s="982"/>
      <c r="E415" s="983"/>
      <c r="F415" s="993"/>
      <c r="G415" s="994"/>
      <c r="H415" s="994"/>
      <c r="I415" s="995"/>
      <c r="J415" s="863" t="s">
        <v>168</v>
      </c>
      <c r="K415" s="975" t="s">
        <v>169</v>
      </c>
      <c r="L415" s="976"/>
      <c r="M415" s="496" t="s">
        <v>140</v>
      </c>
      <c r="N415" s="977">
        <v>27</v>
      </c>
      <c r="O415" s="961"/>
      <c r="P415" s="499">
        <v>27</v>
      </c>
      <c r="Q415" s="499">
        <v>27</v>
      </c>
    </row>
    <row r="416" spans="1:17" ht="12.75" customHeight="1">
      <c r="A416" s="491"/>
      <c r="B416" s="1009"/>
      <c r="C416" s="981"/>
      <c r="D416" s="982"/>
      <c r="E416" s="983"/>
      <c r="F416" s="990"/>
      <c r="G416" s="991"/>
      <c r="H416" s="991"/>
      <c r="I416" s="992"/>
      <c r="J416" s="867" t="s">
        <v>141</v>
      </c>
      <c r="K416" s="958" t="s">
        <v>140</v>
      </c>
      <c r="L416" s="959"/>
      <c r="M416" s="500" t="s">
        <v>140</v>
      </c>
      <c r="N416" s="960" t="s">
        <v>140</v>
      </c>
      <c r="O416" s="961"/>
      <c r="P416" s="498" t="s">
        <v>140</v>
      </c>
      <c r="Q416" s="498" t="s">
        <v>140</v>
      </c>
    </row>
    <row r="417" spans="1:17" ht="12.75" customHeight="1">
      <c r="A417" s="491"/>
      <c r="B417" s="1009"/>
      <c r="C417" s="981"/>
      <c r="D417" s="982"/>
      <c r="E417" s="983"/>
      <c r="F417" s="987" t="s">
        <v>297</v>
      </c>
      <c r="G417" s="988"/>
      <c r="H417" s="988"/>
      <c r="I417" s="989"/>
      <c r="J417" s="863" t="s">
        <v>162</v>
      </c>
      <c r="K417" s="975" t="s">
        <v>163</v>
      </c>
      <c r="L417" s="976"/>
      <c r="M417" s="496" t="s">
        <v>140</v>
      </c>
      <c r="N417" s="977">
        <v>27.3</v>
      </c>
      <c r="O417" s="961"/>
      <c r="P417" s="499">
        <v>27.3</v>
      </c>
      <c r="Q417" s="499">
        <v>27.3</v>
      </c>
    </row>
    <row r="418" spans="1:17" ht="12.75" customHeight="1">
      <c r="A418" s="491"/>
      <c r="B418" s="1009"/>
      <c r="C418" s="981"/>
      <c r="D418" s="982"/>
      <c r="E418" s="983"/>
      <c r="F418" s="993"/>
      <c r="G418" s="994"/>
      <c r="H418" s="994"/>
      <c r="I418" s="995"/>
      <c r="J418" s="863" t="s">
        <v>164</v>
      </c>
      <c r="K418" s="975" t="s">
        <v>165</v>
      </c>
      <c r="L418" s="976"/>
      <c r="M418" s="496" t="s">
        <v>140</v>
      </c>
      <c r="N418" s="977">
        <v>27.3</v>
      </c>
      <c r="O418" s="961"/>
      <c r="P418" s="499">
        <v>27.3</v>
      </c>
      <c r="Q418" s="499">
        <v>27.3</v>
      </c>
    </row>
    <row r="419" spans="1:17" ht="12.75" customHeight="1">
      <c r="A419" s="491"/>
      <c r="B419" s="1009"/>
      <c r="C419" s="981"/>
      <c r="D419" s="982"/>
      <c r="E419" s="983"/>
      <c r="F419" s="993"/>
      <c r="G419" s="994"/>
      <c r="H419" s="994"/>
      <c r="I419" s="995"/>
      <c r="J419" s="863" t="s">
        <v>166</v>
      </c>
      <c r="K419" s="975" t="s">
        <v>167</v>
      </c>
      <c r="L419" s="976"/>
      <c r="M419" s="496" t="s">
        <v>140</v>
      </c>
      <c r="N419" s="977">
        <v>29.92</v>
      </c>
      <c r="O419" s="961"/>
      <c r="P419" s="499">
        <v>29.92</v>
      </c>
      <c r="Q419" s="499">
        <v>29.92</v>
      </c>
    </row>
    <row r="420" spans="1:17" ht="12.75" customHeight="1">
      <c r="A420" s="491"/>
      <c r="B420" s="1009"/>
      <c r="C420" s="981"/>
      <c r="D420" s="982"/>
      <c r="E420" s="983"/>
      <c r="F420" s="993"/>
      <c r="G420" s="994"/>
      <c r="H420" s="994"/>
      <c r="I420" s="995"/>
      <c r="J420" s="863" t="s">
        <v>168</v>
      </c>
      <c r="K420" s="975" t="s">
        <v>169</v>
      </c>
      <c r="L420" s="976"/>
      <c r="M420" s="496" t="s">
        <v>140</v>
      </c>
      <c r="N420" s="977">
        <v>29.92</v>
      </c>
      <c r="O420" s="961"/>
      <c r="P420" s="499">
        <v>29.92</v>
      </c>
      <c r="Q420" s="499">
        <v>29.92</v>
      </c>
    </row>
    <row r="421" spans="1:17" ht="12.75" customHeight="1">
      <c r="A421" s="491"/>
      <c r="B421" s="1009"/>
      <c r="C421" s="981"/>
      <c r="D421" s="982"/>
      <c r="E421" s="983"/>
      <c r="F421" s="990"/>
      <c r="G421" s="991"/>
      <c r="H421" s="991"/>
      <c r="I421" s="992"/>
      <c r="J421" s="867" t="s">
        <v>141</v>
      </c>
      <c r="K421" s="958" t="s">
        <v>140</v>
      </c>
      <c r="L421" s="959"/>
      <c r="M421" s="500" t="s">
        <v>140</v>
      </c>
      <c r="N421" s="960" t="s">
        <v>140</v>
      </c>
      <c r="O421" s="961"/>
      <c r="P421" s="498" t="s">
        <v>140</v>
      </c>
      <c r="Q421" s="498" t="s">
        <v>140</v>
      </c>
    </row>
    <row r="422" spans="1:17" ht="12.75" customHeight="1">
      <c r="A422" s="491"/>
      <c r="B422" s="1009"/>
      <c r="C422" s="981"/>
      <c r="D422" s="982"/>
      <c r="E422" s="983"/>
      <c r="F422" s="987" t="s">
        <v>298</v>
      </c>
      <c r="G422" s="988"/>
      <c r="H422" s="988"/>
      <c r="I422" s="989"/>
      <c r="J422" s="863" t="s">
        <v>162</v>
      </c>
      <c r="K422" s="975" t="s">
        <v>163</v>
      </c>
      <c r="L422" s="976"/>
      <c r="M422" s="496" t="s">
        <v>140</v>
      </c>
      <c r="N422" s="977">
        <v>27.3</v>
      </c>
      <c r="O422" s="961"/>
      <c r="P422" s="499">
        <v>27.3</v>
      </c>
      <c r="Q422" s="499">
        <v>27.3</v>
      </c>
    </row>
    <row r="423" spans="1:17" ht="12.75" customHeight="1">
      <c r="A423" s="491"/>
      <c r="B423" s="1009"/>
      <c r="C423" s="981"/>
      <c r="D423" s="982"/>
      <c r="E423" s="983"/>
      <c r="F423" s="993"/>
      <c r="G423" s="994"/>
      <c r="H423" s="994"/>
      <c r="I423" s="995"/>
      <c r="J423" s="863" t="s">
        <v>164</v>
      </c>
      <c r="K423" s="975" t="s">
        <v>165</v>
      </c>
      <c r="L423" s="976"/>
      <c r="M423" s="496" t="s">
        <v>140</v>
      </c>
      <c r="N423" s="977">
        <v>27.3</v>
      </c>
      <c r="O423" s="961"/>
      <c r="P423" s="499">
        <v>27.3</v>
      </c>
      <c r="Q423" s="499">
        <v>27.3</v>
      </c>
    </row>
    <row r="424" spans="1:17" ht="12.75" customHeight="1">
      <c r="A424" s="491"/>
      <c r="B424" s="1009"/>
      <c r="C424" s="981"/>
      <c r="D424" s="982"/>
      <c r="E424" s="983"/>
      <c r="F424" s="993"/>
      <c r="G424" s="994"/>
      <c r="H424" s="994"/>
      <c r="I424" s="995"/>
      <c r="J424" s="863" t="s">
        <v>166</v>
      </c>
      <c r="K424" s="975" t="s">
        <v>167</v>
      </c>
      <c r="L424" s="976"/>
      <c r="M424" s="496" t="s">
        <v>140</v>
      </c>
      <c r="N424" s="977">
        <v>29.92</v>
      </c>
      <c r="O424" s="961"/>
      <c r="P424" s="499">
        <v>29.92</v>
      </c>
      <c r="Q424" s="499">
        <v>29.92</v>
      </c>
    </row>
    <row r="425" spans="1:17" ht="12.75" customHeight="1">
      <c r="A425" s="491"/>
      <c r="B425" s="1009"/>
      <c r="C425" s="981"/>
      <c r="D425" s="982"/>
      <c r="E425" s="983"/>
      <c r="F425" s="993"/>
      <c r="G425" s="994"/>
      <c r="H425" s="994"/>
      <c r="I425" s="995"/>
      <c r="J425" s="863" t="s">
        <v>168</v>
      </c>
      <c r="K425" s="975" t="s">
        <v>169</v>
      </c>
      <c r="L425" s="976"/>
      <c r="M425" s="496" t="s">
        <v>140</v>
      </c>
      <c r="N425" s="977">
        <v>29.92</v>
      </c>
      <c r="O425" s="961"/>
      <c r="P425" s="499">
        <v>29.92</v>
      </c>
      <c r="Q425" s="499">
        <v>29.92</v>
      </c>
    </row>
    <row r="426" spans="1:17" ht="12.75" customHeight="1">
      <c r="A426" s="491"/>
      <c r="B426" s="1009"/>
      <c r="C426" s="981"/>
      <c r="D426" s="982"/>
      <c r="E426" s="983"/>
      <c r="F426" s="990"/>
      <c r="G426" s="991"/>
      <c r="H426" s="991"/>
      <c r="I426" s="992"/>
      <c r="J426" s="867" t="s">
        <v>141</v>
      </c>
      <c r="K426" s="958" t="s">
        <v>140</v>
      </c>
      <c r="L426" s="959"/>
      <c r="M426" s="500" t="s">
        <v>140</v>
      </c>
      <c r="N426" s="960" t="s">
        <v>140</v>
      </c>
      <c r="O426" s="961"/>
      <c r="P426" s="498" t="s">
        <v>140</v>
      </c>
      <c r="Q426" s="498" t="s">
        <v>140</v>
      </c>
    </row>
    <row r="427" spans="1:17" ht="12.75" customHeight="1">
      <c r="A427" s="491"/>
      <c r="B427" s="1009"/>
      <c r="C427" s="981"/>
      <c r="D427" s="982"/>
      <c r="E427" s="983"/>
      <c r="F427" s="987" t="s">
        <v>299</v>
      </c>
      <c r="G427" s="988"/>
      <c r="H427" s="988"/>
      <c r="I427" s="989"/>
      <c r="J427" s="863" t="s">
        <v>162</v>
      </c>
      <c r="K427" s="975" t="s">
        <v>163</v>
      </c>
      <c r="L427" s="976"/>
      <c r="M427" s="496" t="s">
        <v>140</v>
      </c>
      <c r="N427" s="977">
        <v>27.3</v>
      </c>
      <c r="O427" s="961"/>
      <c r="P427" s="499">
        <v>27.3</v>
      </c>
      <c r="Q427" s="499">
        <v>27.3</v>
      </c>
    </row>
    <row r="428" spans="1:17" ht="12.75" customHeight="1">
      <c r="A428" s="491"/>
      <c r="B428" s="1009"/>
      <c r="C428" s="981"/>
      <c r="D428" s="982"/>
      <c r="E428" s="983"/>
      <c r="F428" s="993"/>
      <c r="G428" s="994"/>
      <c r="H428" s="994"/>
      <c r="I428" s="995"/>
      <c r="J428" s="863" t="s">
        <v>164</v>
      </c>
      <c r="K428" s="975" t="s">
        <v>165</v>
      </c>
      <c r="L428" s="976"/>
      <c r="M428" s="496" t="s">
        <v>140</v>
      </c>
      <c r="N428" s="977">
        <v>27.3</v>
      </c>
      <c r="O428" s="961"/>
      <c r="P428" s="499">
        <v>27.3</v>
      </c>
      <c r="Q428" s="499">
        <v>27.3</v>
      </c>
    </row>
    <row r="429" spans="1:17" ht="12.75" customHeight="1">
      <c r="A429" s="491"/>
      <c r="B429" s="1009"/>
      <c r="C429" s="981"/>
      <c r="D429" s="982"/>
      <c r="E429" s="983"/>
      <c r="F429" s="993"/>
      <c r="G429" s="994"/>
      <c r="H429" s="994"/>
      <c r="I429" s="995"/>
      <c r="J429" s="863" t="s">
        <v>166</v>
      </c>
      <c r="K429" s="975" t="s">
        <v>167</v>
      </c>
      <c r="L429" s="976"/>
      <c r="M429" s="496" t="s">
        <v>140</v>
      </c>
      <c r="N429" s="977">
        <v>29.92</v>
      </c>
      <c r="O429" s="961"/>
      <c r="P429" s="499">
        <v>29.92</v>
      </c>
      <c r="Q429" s="499">
        <v>29.92</v>
      </c>
    </row>
    <row r="430" spans="1:17" ht="12.75" customHeight="1">
      <c r="A430" s="491"/>
      <c r="B430" s="1009"/>
      <c r="C430" s="981"/>
      <c r="D430" s="982"/>
      <c r="E430" s="983"/>
      <c r="F430" s="993"/>
      <c r="G430" s="994"/>
      <c r="H430" s="994"/>
      <c r="I430" s="995"/>
      <c r="J430" s="863" t="s">
        <v>168</v>
      </c>
      <c r="K430" s="975" t="s">
        <v>169</v>
      </c>
      <c r="L430" s="976"/>
      <c r="M430" s="496" t="s">
        <v>140</v>
      </c>
      <c r="N430" s="977">
        <v>29.92</v>
      </c>
      <c r="O430" s="961"/>
      <c r="P430" s="499">
        <v>29.92</v>
      </c>
      <c r="Q430" s="499">
        <v>29.92</v>
      </c>
    </row>
    <row r="431" spans="1:17" ht="12.75" customHeight="1">
      <c r="A431" s="491"/>
      <c r="B431" s="1009"/>
      <c r="C431" s="981"/>
      <c r="D431" s="982"/>
      <c r="E431" s="983"/>
      <c r="F431" s="990"/>
      <c r="G431" s="991"/>
      <c r="H431" s="991"/>
      <c r="I431" s="992"/>
      <c r="J431" s="867" t="s">
        <v>141</v>
      </c>
      <c r="K431" s="958" t="s">
        <v>140</v>
      </c>
      <c r="L431" s="959"/>
      <c r="M431" s="500" t="s">
        <v>140</v>
      </c>
      <c r="N431" s="960" t="s">
        <v>140</v>
      </c>
      <c r="O431" s="961"/>
      <c r="P431" s="498" t="s">
        <v>140</v>
      </c>
      <c r="Q431" s="498" t="s">
        <v>140</v>
      </c>
    </row>
    <row r="432" spans="1:17" ht="12.75" customHeight="1">
      <c r="A432" s="491"/>
      <c r="B432" s="1009"/>
      <c r="C432" s="981"/>
      <c r="D432" s="982"/>
      <c r="E432" s="983"/>
      <c r="F432" s="987" t="s">
        <v>300</v>
      </c>
      <c r="G432" s="988"/>
      <c r="H432" s="988"/>
      <c r="I432" s="989"/>
      <c r="J432" s="863" t="s">
        <v>213</v>
      </c>
      <c r="K432" s="975" t="s">
        <v>214</v>
      </c>
      <c r="L432" s="976"/>
      <c r="M432" s="496" t="s">
        <v>140</v>
      </c>
      <c r="N432" s="977">
        <v>0</v>
      </c>
      <c r="O432" s="961"/>
      <c r="P432" s="499">
        <v>0</v>
      </c>
      <c r="Q432" s="498" t="s">
        <v>140</v>
      </c>
    </row>
    <row r="433" spans="1:17" ht="12.75" customHeight="1">
      <c r="A433" s="491"/>
      <c r="B433" s="1009"/>
      <c r="C433" s="981"/>
      <c r="D433" s="982"/>
      <c r="E433" s="983"/>
      <c r="F433" s="993"/>
      <c r="G433" s="994"/>
      <c r="H433" s="994"/>
      <c r="I433" s="995"/>
      <c r="J433" s="863" t="s">
        <v>215</v>
      </c>
      <c r="K433" s="975" t="s">
        <v>216</v>
      </c>
      <c r="L433" s="976"/>
      <c r="M433" s="496" t="s">
        <v>140</v>
      </c>
      <c r="N433" s="977">
        <v>0</v>
      </c>
      <c r="O433" s="961"/>
      <c r="P433" s="499">
        <v>0</v>
      </c>
      <c r="Q433" s="498" t="s">
        <v>140</v>
      </c>
    </row>
    <row r="434" spans="1:17" ht="12.75" customHeight="1">
      <c r="A434" s="491"/>
      <c r="B434" s="1009"/>
      <c r="C434" s="981"/>
      <c r="D434" s="982"/>
      <c r="E434" s="983"/>
      <c r="F434" s="993"/>
      <c r="G434" s="994"/>
      <c r="H434" s="994"/>
      <c r="I434" s="995"/>
      <c r="J434" s="863" t="s">
        <v>144</v>
      </c>
      <c r="K434" s="975" t="s">
        <v>145</v>
      </c>
      <c r="L434" s="976"/>
      <c r="M434" s="496" t="s">
        <v>140</v>
      </c>
      <c r="N434" s="977">
        <v>0</v>
      </c>
      <c r="O434" s="961"/>
      <c r="P434" s="499">
        <v>0</v>
      </c>
      <c r="Q434" s="498" t="s">
        <v>140</v>
      </c>
    </row>
    <row r="435" spans="1:17" ht="12.75" customHeight="1">
      <c r="A435" s="491"/>
      <c r="B435" s="1009"/>
      <c r="C435" s="981"/>
      <c r="D435" s="982"/>
      <c r="E435" s="983"/>
      <c r="F435" s="990"/>
      <c r="G435" s="991"/>
      <c r="H435" s="991"/>
      <c r="I435" s="992"/>
      <c r="J435" s="867" t="s">
        <v>141</v>
      </c>
      <c r="K435" s="958" t="s">
        <v>140</v>
      </c>
      <c r="L435" s="959"/>
      <c r="M435" s="500" t="s">
        <v>140</v>
      </c>
      <c r="N435" s="960" t="s">
        <v>140</v>
      </c>
      <c r="O435" s="961"/>
      <c r="P435" s="498" t="s">
        <v>140</v>
      </c>
      <c r="Q435" s="498" t="s">
        <v>140</v>
      </c>
    </row>
    <row r="436" spans="1:17" ht="12.75" customHeight="1">
      <c r="A436" s="491"/>
      <c r="B436" s="1009"/>
      <c r="C436" s="984"/>
      <c r="D436" s="985"/>
      <c r="E436" s="986"/>
      <c r="F436" s="962" t="s">
        <v>140</v>
      </c>
      <c r="G436" s="958"/>
      <c r="H436" s="958"/>
      <c r="I436" s="959"/>
      <c r="J436" s="867" t="s">
        <v>247</v>
      </c>
      <c r="K436" s="958" t="s">
        <v>140</v>
      </c>
      <c r="L436" s="959"/>
      <c r="M436" s="501">
        <v>2754673.95</v>
      </c>
      <c r="N436" s="960" t="s">
        <v>140</v>
      </c>
      <c r="O436" s="961"/>
      <c r="P436" s="498" t="s">
        <v>140</v>
      </c>
      <c r="Q436" s="498" t="s">
        <v>140</v>
      </c>
    </row>
    <row r="437" spans="1:17" ht="12.75" customHeight="1">
      <c r="A437" s="491"/>
      <c r="B437" s="1010"/>
      <c r="C437" s="963" t="s">
        <v>140</v>
      </c>
      <c r="D437" s="964"/>
      <c r="E437" s="965"/>
      <c r="F437" s="962" t="s">
        <v>140</v>
      </c>
      <c r="G437" s="958"/>
      <c r="H437" s="958"/>
      <c r="I437" s="959"/>
      <c r="J437" s="867" t="s">
        <v>301</v>
      </c>
      <c r="K437" s="958" t="s">
        <v>140</v>
      </c>
      <c r="L437" s="959"/>
      <c r="M437" s="501">
        <v>5034449</v>
      </c>
      <c r="N437" s="960" t="s">
        <v>140</v>
      </c>
      <c r="O437" s="961"/>
      <c r="P437" s="498" t="s">
        <v>140</v>
      </c>
      <c r="Q437" s="498" t="s">
        <v>140</v>
      </c>
    </row>
    <row r="440" spans="1:17" ht="15.75">
      <c r="A440" s="22" t="s">
        <v>125</v>
      </c>
      <c r="B440" s="22" t="s">
        <v>302</v>
      </c>
      <c r="C440" s="491"/>
      <c r="D440" s="491"/>
      <c r="E440" s="491"/>
      <c r="F440" s="491"/>
      <c r="G440" s="491"/>
      <c r="H440" s="491"/>
      <c r="I440" s="491"/>
      <c r="J440" s="491"/>
      <c r="K440" s="491"/>
      <c r="L440" s="1014"/>
      <c r="M440" s="1014"/>
      <c r="N440" s="1014"/>
      <c r="O440" s="1014"/>
      <c r="P440" s="1014"/>
      <c r="Q440" s="1014"/>
    </row>
    <row r="441" spans="1:17" ht="12.75" customHeight="1">
      <c r="A441" s="491"/>
      <c r="B441" s="492" t="s">
        <v>127</v>
      </c>
      <c r="C441" s="1005" t="s">
        <v>128</v>
      </c>
      <c r="D441" s="1005"/>
      <c r="E441" s="1006"/>
      <c r="F441" s="1007" t="s">
        <v>129</v>
      </c>
      <c r="G441" s="1005"/>
      <c r="H441" s="1005"/>
      <c r="I441" s="1006"/>
      <c r="J441" s="493" t="s">
        <v>130</v>
      </c>
      <c r="K441" s="1005" t="s">
        <v>131</v>
      </c>
      <c r="L441" s="1006"/>
      <c r="M441" s="493" t="s">
        <v>132</v>
      </c>
      <c r="N441" s="1005" t="s">
        <v>133</v>
      </c>
      <c r="O441" s="1006"/>
      <c r="P441" s="493" t="s">
        <v>134</v>
      </c>
      <c r="Q441" s="493" t="s">
        <v>135</v>
      </c>
    </row>
    <row r="442" spans="1:17" ht="12.75" customHeight="1">
      <c r="A442" s="491"/>
      <c r="B442" s="1011">
        <v>5</v>
      </c>
      <c r="C442" s="978" t="s">
        <v>136</v>
      </c>
      <c r="D442" s="979"/>
      <c r="E442" s="980"/>
      <c r="F442" s="987" t="s">
        <v>137</v>
      </c>
      <c r="G442" s="988"/>
      <c r="H442" s="988"/>
      <c r="I442" s="989"/>
      <c r="J442" s="862" t="s">
        <v>138</v>
      </c>
      <c r="K442" s="975" t="s">
        <v>139</v>
      </c>
      <c r="L442" s="976"/>
      <c r="M442" s="494" t="s">
        <v>140</v>
      </c>
      <c r="N442" s="977">
        <v>0.97</v>
      </c>
      <c r="O442" s="961"/>
      <c r="P442" s="495">
        <v>0.97</v>
      </c>
      <c r="Q442" s="495">
        <v>1.27</v>
      </c>
    </row>
    <row r="443" spans="1:17" ht="12.75" customHeight="1">
      <c r="A443" s="491"/>
      <c r="B443" s="1012"/>
      <c r="C443" s="981"/>
      <c r="D443" s="982"/>
      <c r="E443" s="983"/>
      <c r="F443" s="990"/>
      <c r="G443" s="991"/>
      <c r="H443" s="991"/>
      <c r="I443" s="992"/>
      <c r="J443" s="867" t="s">
        <v>141</v>
      </c>
      <c r="K443" s="958" t="s">
        <v>140</v>
      </c>
      <c r="L443" s="959"/>
      <c r="M443" s="500" t="s">
        <v>140</v>
      </c>
      <c r="N443" s="960" t="s">
        <v>140</v>
      </c>
      <c r="O443" s="961"/>
      <c r="P443" s="498" t="s">
        <v>140</v>
      </c>
      <c r="Q443" s="498" t="s">
        <v>140</v>
      </c>
    </row>
    <row r="444" spans="1:17" ht="12.75" customHeight="1">
      <c r="A444" s="491"/>
      <c r="B444" s="1012"/>
      <c r="C444" s="981"/>
      <c r="D444" s="982"/>
      <c r="E444" s="983"/>
      <c r="F444" s="987" t="s">
        <v>303</v>
      </c>
      <c r="G444" s="988"/>
      <c r="H444" s="988"/>
      <c r="I444" s="989"/>
      <c r="J444" s="863" t="s">
        <v>162</v>
      </c>
      <c r="K444" s="975" t="s">
        <v>163</v>
      </c>
      <c r="L444" s="976"/>
      <c r="M444" s="496" t="s">
        <v>140</v>
      </c>
      <c r="N444" s="977">
        <v>26</v>
      </c>
      <c r="O444" s="961"/>
      <c r="P444" s="499">
        <v>26</v>
      </c>
      <c r="Q444" s="499">
        <v>30</v>
      </c>
    </row>
    <row r="445" spans="1:17" ht="12.75" customHeight="1">
      <c r="A445" s="491"/>
      <c r="B445" s="1012"/>
      <c r="C445" s="981"/>
      <c r="D445" s="982"/>
      <c r="E445" s="983"/>
      <c r="F445" s="993"/>
      <c r="G445" s="994"/>
      <c r="H445" s="994"/>
      <c r="I445" s="995"/>
      <c r="J445" s="863" t="s">
        <v>164</v>
      </c>
      <c r="K445" s="975" t="s">
        <v>165</v>
      </c>
      <c r="L445" s="976"/>
      <c r="M445" s="496" t="s">
        <v>140</v>
      </c>
      <c r="N445" s="977">
        <v>26</v>
      </c>
      <c r="O445" s="961"/>
      <c r="P445" s="499">
        <v>26</v>
      </c>
      <c r="Q445" s="499">
        <v>30</v>
      </c>
    </row>
    <row r="446" spans="1:17" ht="12.75" customHeight="1">
      <c r="A446" s="491"/>
      <c r="B446" s="1012"/>
      <c r="C446" s="981"/>
      <c r="D446" s="982"/>
      <c r="E446" s="983"/>
      <c r="F446" s="990"/>
      <c r="G446" s="991"/>
      <c r="H446" s="991"/>
      <c r="I446" s="992"/>
      <c r="J446" s="867" t="s">
        <v>141</v>
      </c>
      <c r="K446" s="958" t="s">
        <v>140</v>
      </c>
      <c r="L446" s="959"/>
      <c r="M446" s="500" t="s">
        <v>140</v>
      </c>
      <c r="N446" s="960" t="s">
        <v>140</v>
      </c>
      <c r="O446" s="961"/>
      <c r="P446" s="498" t="s">
        <v>140</v>
      </c>
      <c r="Q446" s="498" t="s">
        <v>140</v>
      </c>
    </row>
    <row r="447" spans="1:17" ht="12.75" customHeight="1">
      <c r="A447" s="491"/>
      <c r="B447" s="1012"/>
      <c r="C447" s="981"/>
      <c r="D447" s="982"/>
      <c r="E447" s="983"/>
      <c r="F447" s="987" t="s">
        <v>304</v>
      </c>
      <c r="G447" s="988"/>
      <c r="H447" s="988"/>
      <c r="I447" s="989"/>
      <c r="J447" s="863" t="s">
        <v>182</v>
      </c>
      <c r="K447" s="975" t="s">
        <v>183</v>
      </c>
      <c r="L447" s="976"/>
      <c r="M447" s="496" t="s">
        <v>140</v>
      </c>
      <c r="N447" s="977">
        <v>0</v>
      </c>
      <c r="O447" s="961"/>
      <c r="P447" s="499">
        <v>0</v>
      </c>
      <c r="Q447" s="498" t="s">
        <v>140</v>
      </c>
    </row>
    <row r="448" spans="1:17" ht="12.75" customHeight="1">
      <c r="A448" s="491"/>
      <c r="B448" s="1012"/>
      <c r="C448" s="981"/>
      <c r="D448" s="982"/>
      <c r="E448" s="983"/>
      <c r="F448" s="990"/>
      <c r="G448" s="991"/>
      <c r="H448" s="991"/>
      <c r="I448" s="992"/>
      <c r="J448" s="867" t="s">
        <v>141</v>
      </c>
      <c r="K448" s="958" t="s">
        <v>140</v>
      </c>
      <c r="L448" s="959"/>
      <c r="M448" s="500" t="s">
        <v>140</v>
      </c>
      <c r="N448" s="960" t="s">
        <v>140</v>
      </c>
      <c r="O448" s="961"/>
      <c r="P448" s="498" t="s">
        <v>140</v>
      </c>
      <c r="Q448" s="498" t="s">
        <v>140</v>
      </c>
    </row>
    <row r="449" spans="1:17" ht="12.75" customHeight="1">
      <c r="A449" s="491"/>
      <c r="B449" s="1012"/>
      <c r="C449" s="981"/>
      <c r="D449" s="982"/>
      <c r="E449" s="983"/>
      <c r="F449" s="987" t="s">
        <v>142</v>
      </c>
      <c r="G449" s="988"/>
      <c r="H449" s="988"/>
      <c r="I449" s="989"/>
      <c r="J449" s="863" t="s">
        <v>138</v>
      </c>
      <c r="K449" s="975" t="s">
        <v>139</v>
      </c>
      <c r="L449" s="976"/>
      <c r="M449" s="496" t="s">
        <v>140</v>
      </c>
      <c r="N449" s="977">
        <v>0.99</v>
      </c>
      <c r="O449" s="961"/>
      <c r="P449" s="499">
        <v>0.99</v>
      </c>
      <c r="Q449" s="499">
        <v>1.33</v>
      </c>
    </row>
    <row r="450" spans="1:17" ht="12.75" customHeight="1">
      <c r="A450" s="491"/>
      <c r="B450" s="1012"/>
      <c r="C450" s="981"/>
      <c r="D450" s="982"/>
      <c r="E450" s="983"/>
      <c r="F450" s="990"/>
      <c r="G450" s="991"/>
      <c r="H450" s="991"/>
      <c r="I450" s="992"/>
      <c r="J450" s="867" t="s">
        <v>141</v>
      </c>
      <c r="K450" s="958" t="s">
        <v>140</v>
      </c>
      <c r="L450" s="959"/>
      <c r="M450" s="500" t="s">
        <v>140</v>
      </c>
      <c r="N450" s="960" t="s">
        <v>140</v>
      </c>
      <c r="O450" s="961"/>
      <c r="P450" s="498" t="s">
        <v>140</v>
      </c>
      <c r="Q450" s="498" t="s">
        <v>140</v>
      </c>
    </row>
    <row r="451" spans="1:17" ht="12.75" customHeight="1">
      <c r="A451" s="491"/>
      <c r="B451" s="1012"/>
      <c r="C451" s="981"/>
      <c r="D451" s="982"/>
      <c r="E451" s="983"/>
      <c r="F451" s="987" t="s">
        <v>143</v>
      </c>
      <c r="G451" s="988"/>
      <c r="H451" s="988"/>
      <c r="I451" s="989"/>
      <c r="J451" s="863" t="s">
        <v>144</v>
      </c>
      <c r="K451" s="975" t="s">
        <v>145</v>
      </c>
      <c r="L451" s="976"/>
      <c r="M451" s="496" t="s">
        <v>140</v>
      </c>
      <c r="N451" s="977">
        <v>0</v>
      </c>
      <c r="O451" s="961"/>
      <c r="P451" s="499">
        <v>0</v>
      </c>
      <c r="Q451" s="498" t="s">
        <v>140</v>
      </c>
    </row>
    <row r="452" spans="1:17" ht="12.75" customHeight="1">
      <c r="A452" s="491"/>
      <c r="B452" s="1012"/>
      <c r="C452" s="981"/>
      <c r="D452" s="982"/>
      <c r="E452" s="983"/>
      <c r="F452" s="993"/>
      <c r="G452" s="994"/>
      <c r="H452" s="994"/>
      <c r="I452" s="995"/>
      <c r="J452" s="863" t="s">
        <v>146</v>
      </c>
      <c r="K452" s="975" t="s">
        <v>147</v>
      </c>
      <c r="L452" s="976"/>
      <c r="M452" s="496" t="s">
        <v>140</v>
      </c>
      <c r="N452" s="977">
        <v>84.2</v>
      </c>
      <c r="O452" s="961"/>
      <c r="P452" s="499">
        <v>84.2</v>
      </c>
      <c r="Q452" s="499">
        <v>93.9</v>
      </c>
    </row>
    <row r="453" spans="1:17" ht="12.75" customHeight="1">
      <c r="A453" s="491"/>
      <c r="B453" s="1012"/>
      <c r="C453" s="981"/>
      <c r="D453" s="982"/>
      <c r="E453" s="983"/>
      <c r="F453" s="993"/>
      <c r="G453" s="994"/>
      <c r="H453" s="994"/>
      <c r="I453" s="995"/>
      <c r="J453" s="863" t="s">
        <v>148</v>
      </c>
      <c r="K453" s="975" t="s">
        <v>149</v>
      </c>
      <c r="L453" s="976"/>
      <c r="M453" s="496" t="s">
        <v>140</v>
      </c>
      <c r="N453" s="977">
        <v>64.2</v>
      </c>
      <c r="O453" s="961"/>
      <c r="P453" s="499">
        <v>64.2</v>
      </c>
      <c r="Q453" s="499">
        <v>78.599999999999994</v>
      </c>
    </row>
    <row r="454" spans="1:17" ht="12.75" customHeight="1">
      <c r="A454" s="491"/>
      <c r="B454" s="1012"/>
      <c r="C454" s="981"/>
      <c r="D454" s="982"/>
      <c r="E454" s="983"/>
      <c r="F454" s="993"/>
      <c r="G454" s="994"/>
      <c r="H454" s="994"/>
      <c r="I454" s="995"/>
      <c r="J454" s="863" t="s">
        <v>150</v>
      </c>
      <c r="K454" s="975" t="s">
        <v>151</v>
      </c>
      <c r="L454" s="976"/>
      <c r="M454" s="496" t="s">
        <v>140</v>
      </c>
      <c r="N454" s="977">
        <v>92</v>
      </c>
      <c r="O454" s="961"/>
      <c r="P454" s="499">
        <v>92</v>
      </c>
      <c r="Q454" s="499">
        <v>112</v>
      </c>
    </row>
    <row r="455" spans="1:17" ht="12.75" customHeight="1">
      <c r="A455" s="491"/>
      <c r="B455" s="1012"/>
      <c r="C455" s="981"/>
      <c r="D455" s="982"/>
      <c r="E455" s="983"/>
      <c r="F455" s="990"/>
      <c r="G455" s="991"/>
      <c r="H455" s="991"/>
      <c r="I455" s="992"/>
      <c r="J455" s="867" t="s">
        <v>141</v>
      </c>
      <c r="K455" s="958" t="s">
        <v>140</v>
      </c>
      <c r="L455" s="959"/>
      <c r="M455" s="500" t="s">
        <v>140</v>
      </c>
      <c r="N455" s="960" t="s">
        <v>140</v>
      </c>
      <c r="O455" s="961"/>
      <c r="P455" s="498" t="s">
        <v>140</v>
      </c>
      <c r="Q455" s="498" t="s">
        <v>140</v>
      </c>
    </row>
    <row r="456" spans="1:17" ht="12.75" customHeight="1">
      <c r="A456" s="491"/>
      <c r="B456" s="1012"/>
      <c r="C456" s="981"/>
      <c r="D456" s="982"/>
      <c r="E456" s="983"/>
      <c r="F456" s="987" t="s">
        <v>305</v>
      </c>
      <c r="G456" s="988"/>
      <c r="H456" s="988"/>
      <c r="I456" s="989"/>
      <c r="J456" s="863" t="s">
        <v>162</v>
      </c>
      <c r="K456" s="975" t="s">
        <v>163</v>
      </c>
      <c r="L456" s="976"/>
      <c r="M456" s="496" t="s">
        <v>140</v>
      </c>
      <c r="N456" s="977">
        <v>27.3</v>
      </c>
      <c r="O456" s="961"/>
      <c r="P456" s="499">
        <v>27.3</v>
      </c>
      <c r="Q456" s="499">
        <v>32</v>
      </c>
    </row>
    <row r="457" spans="1:17" ht="12.75" customHeight="1">
      <c r="A457" s="491"/>
      <c r="B457" s="1012"/>
      <c r="C457" s="981"/>
      <c r="D457" s="982"/>
      <c r="E457" s="983"/>
      <c r="F457" s="993"/>
      <c r="G457" s="994"/>
      <c r="H457" s="994"/>
      <c r="I457" s="995"/>
      <c r="J457" s="863" t="s">
        <v>185</v>
      </c>
      <c r="K457" s="975" t="s">
        <v>186</v>
      </c>
      <c r="L457" s="976"/>
      <c r="M457" s="496" t="s">
        <v>140</v>
      </c>
      <c r="N457" s="977">
        <v>49.5</v>
      </c>
      <c r="O457" s="961"/>
      <c r="P457" s="499">
        <v>49.5</v>
      </c>
      <c r="Q457" s="499">
        <v>55</v>
      </c>
    </row>
    <row r="458" spans="1:17" ht="12.75" customHeight="1">
      <c r="A458" s="491"/>
      <c r="B458" s="1012"/>
      <c r="C458" s="981"/>
      <c r="D458" s="982"/>
      <c r="E458" s="983"/>
      <c r="F458" s="993"/>
      <c r="G458" s="994"/>
      <c r="H458" s="994"/>
      <c r="I458" s="995"/>
      <c r="J458" s="863" t="s">
        <v>164</v>
      </c>
      <c r="K458" s="975" t="s">
        <v>165</v>
      </c>
      <c r="L458" s="976"/>
      <c r="M458" s="496" t="s">
        <v>140</v>
      </c>
      <c r="N458" s="977">
        <v>27.3</v>
      </c>
      <c r="O458" s="961"/>
      <c r="P458" s="499">
        <v>27.3</v>
      </c>
      <c r="Q458" s="499">
        <v>32</v>
      </c>
    </row>
    <row r="459" spans="1:17" ht="12.75" customHeight="1">
      <c r="A459" s="491"/>
      <c r="B459" s="1012"/>
      <c r="C459" s="981"/>
      <c r="D459" s="982"/>
      <c r="E459" s="983"/>
      <c r="F459" s="993"/>
      <c r="G459" s="994"/>
      <c r="H459" s="994"/>
      <c r="I459" s="995"/>
      <c r="J459" s="863" t="s">
        <v>166</v>
      </c>
      <c r="K459" s="975" t="s">
        <v>167</v>
      </c>
      <c r="L459" s="976"/>
      <c r="M459" s="496" t="s">
        <v>140</v>
      </c>
      <c r="N459" s="977">
        <v>29.7</v>
      </c>
      <c r="O459" s="961"/>
      <c r="P459" s="499">
        <v>29.7</v>
      </c>
      <c r="Q459" s="499">
        <v>33</v>
      </c>
    </row>
    <row r="460" spans="1:17" ht="12.75" customHeight="1">
      <c r="A460" s="491"/>
      <c r="B460" s="1012"/>
      <c r="C460" s="981"/>
      <c r="D460" s="982"/>
      <c r="E460" s="983"/>
      <c r="F460" s="993"/>
      <c r="G460" s="994"/>
      <c r="H460" s="994"/>
      <c r="I460" s="995"/>
      <c r="J460" s="863" t="s">
        <v>168</v>
      </c>
      <c r="K460" s="975" t="s">
        <v>169</v>
      </c>
      <c r="L460" s="976"/>
      <c r="M460" s="496" t="s">
        <v>140</v>
      </c>
      <c r="N460" s="977">
        <v>29.7</v>
      </c>
      <c r="O460" s="961"/>
      <c r="P460" s="499">
        <v>29.7</v>
      </c>
      <c r="Q460" s="499">
        <v>33</v>
      </c>
    </row>
    <row r="461" spans="1:17" ht="12.75" customHeight="1">
      <c r="A461" s="491"/>
      <c r="B461" s="1012"/>
      <c r="C461" s="981"/>
      <c r="D461" s="982"/>
      <c r="E461" s="983"/>
      <c r="F461" s="990"/>
      <c r="G461" s="991"/>
      <c r="H461" s="991"/>
      <c r="I461" s="992"/>
      <c r="J461" s="867" t="s">
        <v>141</v>
      </c>
      <c r="K461" s="958" t="s">
        <v>140</v>
      </c>
      <c r="L461" s="959"/>
      <c r="M461" s="500" t="s">
        <v>140</v>
      </c>
      <c r="N461" s="960" t="s">
        <v>140</v>
      </c>
      <c r="O461" s="961"/>
      <c r="P461" s="498" t="s">
        <v>140</v>
      </c>
      <c r="Q461" s="498" t="s">
        <v>140</v>
      </c>
    </row>
    <row r="462" spans="1:17" ht="12.75" customHeight="1">
      <c r="A462" s="491"/>
      <c r="B462" s="1012"/>
      <c r="C462" s="981"/>
      <c r="D462" s="982"/>
      <c r="E462" s="983"/>
      <c r="F462" s="987" t="s">
        <v>152</v>
      </c>
      <c r="G462" s="988"/>
      <c r="H462" s="988"/>
      <c r="I462" s="989"/>
      <c r="J462" s="863" t="s">
        <v>153</v>
      </c>
      <c r="K462" s="975" t="s">
        <v>154</v>
      </c>
      <c r="L462" s="976"/>
      <c r="M462" s="497">
        <v>255066.61</v>
      </c>
      <c r="N462" s="977">
        <v>52.46</v>
      </c>
      <c r="O462" s="961"/>
      <c r="P462" s="499">
        <v>52.46</v>
      </c>
      <c r="Q462" s="499">
        <v>52.46</v>
      </c>
    </row>
    <row r="463" spans="1:17" ht="12.75" customHeight="1">
      <c r="A463" s="491"/>
      <c r="B463" s="1012"/>
      <c r="C463" s="981"/>
      <c r="D463" s="982"/>
      <c r="E463" s="983"/>
      <c r="F463" s="993"/>
      <c r="G463" s="994"/>
      <c r="H463" s="994"/>
      <c r="I463" s="995"/>
      <c r="J463" s="863" t="s">
        <v>155</v>
      </c>
      <c r="K463" s="975" t="s">
        <v>156</v>
      </c>
      <c r="L463" s="976"/>
      <c r="M463" s="497">
        <v>765833.15</v>
      </c>
      <c r="N463" s="977">
        <v>78.92</v>
      </c>
      <c r="O463" s="961"/>
      <c r="P463" s="499">
        <v>78.92</v>
      </c>
      <c r="Q463" s="499">
        <v>78.92</v>
      </c>
    </row>
    <row r="464" spans="1:17" ht="12.75" customHeight="1">
      <c r="A464" s="491"/>
      <c r="B464" s="1012"/>
      <c r="C464" s="981"/>
      <c r="D464" s="982"/>
      <c r="E464" s="983"/>
      <c r="F464" s="993"/>
      <c r="G464" s="994"/>
      <c r="H464" s="994"/>
      <c r="I464" s="995"/>
      <c r="J464" s="863" t="s">
        <v>188</v>
      </c>
      <c r="K464" s="975" t="s">
        <v>189</v>
      </c>
      <c r="L464" s="976"/>
      <c r="M464" s="496" t="s">
        <v>140</v>
      </c>
      <c r="N464" s="977">
        <v>7.66</v>
      </c>
      <c r="O464" s="961"/>
      <c r="P464" s="499">
        <v>7.66</v>
      </c>
      <c r="Q464" s="499">
        <v>7.66</v>
      </c>
    </row>
    <row r="465" spans="1:17" ht="12.75" customHeight="1">
      <c r="A465" s="491"/>
      <c r="B465" s="1012"/>
      <c r="C465" s="981"/>
      <c r="D465" s="982"/>
      <c r="E465" s="983"/>
      <c r="F465" s="993"/>
      <c r="G465" s="994"/>
      <c r="H465" s="994"/>
      <c r="I465" s="995"/>
      <c r="J465" s="863" t="s">
        <v>190</v>
      </c>
      <c r="K465" s="975" t="s">
        <v>191</v>
      </c>
      <c r="L465" s="976"/>
      <c r="M465" s="496" t="s">
        <v>140</v>
      </c>
      <c r="N465" s="977">
        <v>7.66</v>
      </c>
      <c r="O465" s="961"/>
      <c r="P465" s="499">
        <v>7.66</v>
      </c>
      <c r="Q465" s="499">
        <v>7.66</v>
      </c>
    </row>
    <row r="466" spans="1:17" ht="12.75" customHeight="1">
      <c r="A466" s="491"/>
      <c r="B466" s="1012"/>
      <c r="C466" s="981"/>
      <c r="D466" s="982"/>
      <c r="E466" s="983"/>
      <c r="F466" s="993"/>
      <c r="G466" s="994"/>
      <c r="H466" s="994"/>
      <c r="I466" s="995"/>
      <c r="J466" s="863" t="s">
        <v>192</v>
      </c>
      <c r="K466" s="975" t="s">
        <v>193</v>
      </c>
      <c r="L466" s="976"/>
      <c r="M466" s="496" t="s">
        <v>140</v>
      </c>
      <c r="N466" s="977">
        <v>7.77</v>
      </c>
      <c r="O466" s="961"/>
      <c r="P466" s="499">
        <v>7.77</v>
      </c>
      <c r="Q466" s="499">
        <v>7.77</v>
      </c>
    </row>
    <row r="467" spans="1:17" ht="12.75" customHeight="1">
      <c r="A467" s="491"/>
      <c r="B467" s="1012"/>
      <c r="C467" s="981"/>
      <c r="D467" s="982"/>
      <c r="E467" s="983"/>
      <c r="F467" s="993"/>
      <c r="G467" s="994"/>
      <c r="H467" s="994"/>
      <c r="I467" s="995"/>
      <c r="J467" s="863" t="s">
        <v>194</v>
      </c>
      <c r="K467" s="975" t="s">
        <v>195</v>
      </c>
      <c r="L467" s="976"/>
      <c r="M467" s="496" t="s">
        <v>140</v>
      </c>
      <c r="N467" s="977">
        <v>7.77</v>
      </c>
      <c r="O467" s="961"/>
      <c r="P467" s="499">
        <v>7.77</v>
      </c>
      <c r="Q467" s="499">
        <v>7.77</v>
      </c>
    </row>
    <row r="468" spans="1:17" ht="12.75" customHeight="1">
      <c r="A468" s="491"/>
      <c r="B468" s="1012"/>
      <c r="C468" s="981"/>
      <c r="D468" s="982"/>
      <c r="E468" s="983"/>
      <c r="F468" s="990"/>
      <c r="G468" s="991"/>
      <c r="H468" s="991"/>
      <c r="I468" s="992"/>
      <c r="J468" s="867" t="s">
        <v>141</v>
      </c>
      <c r="K468" s="958" t="s">
        <v>140</v>
      </c>
      <c r="L468" s="959"/>
      <c r="M468" s="501">
        <v>1020899.76</v>
      </c>
      <c r="N468" s="960" t="s">
        <v>140</v>
      </c>
      <c r="O468" s="961"/>
      <c r="P468" s="498" t="s">
        <v>140</v>
      </c>
      <c r="Q468" s="498" t="s">
        <v>140</v>
      </c>
    </row>
    <row r="469" spans="1:17" ht="12.75" customHeight="1">
      <c r="A469" s="491"/>
      <c r="B469" s="1012"/>
      <c r="C469" s="981"/>
      <c r="D469" s="982"/>
      <c r="E469" s="983"/>
      <c r="F469" s="987" t="s">
        <v>306</v>
      </c>
      <c r="G469" s="988"/>
      <c r="H469" s="988"/>
      <c r="I469" s="989"/>
      <c r="J469" s="863" t="s">
        <v>197</v>
      </c>
      <c r="K469" s="975" t="s">
        <v>198</v>
      </c>
      <c r="L469" s="976"/>
      <c r="M469" s="496" t="s">
        <v>140</v>
      </c>
      <c r="N469" s="977">
        <v>30.45</v>
      </c>
      <c r="O469" s="961"/>
      <c r="P469" s="499">
        <v>30.45</v>
      </c>
      <c r="Q469" s="499">
        <v>30.45</v>
      </c>
    </row>
    <row r="470" spans="1:17" ht="12.75" customHeight="1">
      <c r="A470" s="491"/>
      <c r="B470" s="1012"/>
      <c r="C470" s="981"/>
      <c r="D470" s="982"/>
      <c r="E470" s="983"/>
      <c r="F470" s="990"/>
      <c r="G470" s="991"/>
      <c r="H470" s="991"/>
      <c r="I470" s="992"/>
      <c r="J470" s="867" t="s">
        <v>141</v>
      </c>
      <c r="K470" s="958" t="s">
        <v>140</v>
      </c>
      <c r="L470" s="959"/>
      <c r="M470" s="500" t="s">
        <v>140</v>
      </c>
      <c r="N470" s="960" t="s">
        <v>140</v>
      </c>
      <c r="O470" s="961"/>
      <c r="P470" s="498" t="s">
        <v>140</v>
      </c>
      <c r="Q470" s="498" t="s">
        <v>140</v>
      </c>
    </row>
    <row r="471" spans="1:17" ht="12.75" customHeight="1">
      <c r="A471" s="491"/>
      <c r="B471" s="1012"/>
      <c r="C471" s="981"/>
      <c r="D471" s="982"/>
      <c r="E471" s="983"/>
      <c r="F471" s="987" t="s">
        <v>307</v>
      </c>
      <c r="G471" s="988"/>
      <c r="H471" s="988"/>
      <c r="I471" s="989"/>
      <c r="J471" s="863" t="s">
        <v>162</v>
      </c>
      <c r="K471" s="975" t="s">
        <v>163</v>
      </c>
      <c r="L471" s="976"/>
      <c r="M471" s="496" t="s">
        <v>140</v>
      </c>
      <c r="N471" s="977">
        <v>27.3</v>
      </c>
      <c r="O471" s="961"/>
      <c r="P471" s="499">
        <v>27.3</v>
      </c>
      <c r="Q471" s="499">
        <v>34</v>
      </c>
    </row>
    <row r="472" spans="1:17" ht="12.75" customHeight="1">
      <c r="A472" s="491"/>
      <c r="B472" s="1012"/>
      <c r="C472" s="981"/>
      <c r="D472" s="982"/>
      <c r="E472" s="983"/>
      <c r="F472" s="993"/>
      <c r="G472" s="994"/>
      <c r="H472" s="994"/>
      <c r="I472" s="995"/>
      <c r="J472" s="863" t="s">
        <v>164</v>
      </c>
      <c r="K472" s="975" t="s">
        <v>165</v>
      </c>
      <c r="L472" s="976"/>
      <c r="M472" s="496" t="s">
        <v>140</v>
      </c>
      <c r="N472" s="977">
        <v>27.3</v>
      </c>
      <c r="O472" s="961"/>
      <c r="P472" s="499">
        <v>27.3</v>
      </c>
      <c r="Q472" s="499">
        <v>34</v>
      </c>
    </row>
    <row r="473" spans="1:17" ht="12.75" customHeight="1">
      <c r="A473" s="491"/>
      <c r="B473" s="1012"/>
      <c r="C473" s="981"/>
      <c r="D473" s="982"/>
      <c r="E473" s="983"/>
      <c r="F473" s="993"/>
      <c r="G473" s="994"/>
      <c r="H473" s="994"/>
      <c r="I473" s="995"/>
      <c r="J473" s="863" t="s">
        <v>166</v>
      </c>
      <c r="K473" s="975" t="s">
        <v>167</v>
      </c>
      <c r="L473" s="976"/>
      <c r="M473" s="496" t="s">
        <v>140</v>
      </c>
      <c r="N473" s="977">
        <v>29.92</v>
      </c>
      <c r="O473" s="961"/>
      <c r="P473" s="499">
        <v>29.92</v>
      </c>
      <c r="Q473" s="499">
        <v>38</v>
      </c>
    </row>
    <row r="474" spans="1:17" ht="12.75" customHeight="1">
      <c r="A474" s="491"/>
      <c r="B474" s="1012"/>
      <c r="C474" s="981"/>
      <c r="D474" s="982"/>
      <c r="E474" s="983"/>
      <c r="F474" s="993"/>
      <c r="G474" s="994"/>
      <c r="H474" s="994"/>
      <c r="I474" s="995"/>
      <c r="J474" s="863" t="s">
        <v>168</v>
      </c>
      <c r="K474" s="975" t="s">
        <v>169</v>
      </c>
      <c r="L474" s="976"/>
      <c r="M474" s="496" t="s">
        <v>140</v>
      </c>
      <c r="N474" s="977">
        <v>29.92</v>
      </c>
      <c r="O474" s="961"/>
      <c r="P474" s="499">
        <v>29.92</v>
      </c>
      <c r="Q474" s="499">
        <v>38</v>
      </c>
    </row>
    <row r="475" spans="1:17" ht="12.75" customHeight="1">
      <c r="A475" s="491"/>
      <c r="B475" s="1012"/>
      <c r="C475" s="981"/>
      <c r="D475" s="982"/>
      <c r="E475" s="983"/>
      <c r="F475" s="990"/>
      <c r="G475" s="991"/>
      <c r="H475" s="991"/>
      <c r="I475" s="992"/>
      <c r="J475" s="867" t="s">
        <v>141</v>
      </c>
      <c r="K475" s="958" t="s">
        <v>140</v>
      </c>
      <c r="L475" s="959"/>
      <c r="M475" s="500" t="s">
        <v>140</v>
      </c>
      <c r="N475" s="960" t="s">
        <v>140</v>
      </c>
      <c r="O475" s="961"/>
      <c r="P475" s="498" t="s">
        <v>140</v>
      </c>
      <c r="Q475" s="498" t="s">
        <v>140</v>
      </c>
    </row>
    <row r="476" spans="1:17" ht="12.75" customHeight="1">
      <c r="A476" s="491"/>
      <c r="B476" s="1012"/>
      <c r="C476" s="981"/>
      <c r="D476" s="982"/>
      <c r="E476" s="983"/>
      <c r="F476" s="987" t="s">
        <v>160</v>
      </c>
      <c r="G476" s="988"/>
      <c r="H476" s="988"/>
      <c r="I476" s="989"/>
      <c r="J476" s="863" t="s">
        <v>138</v>
      </c>
      <c r="K476" s="975" t="s">
        <v>139</v>
      </c>
      <c r="L476" s="976"/>
      <c r="M476" s="496" t="s">
        <v>140</v>
      </c>
      <c r="N476" s="977">
        <v>1.03</v>
      </c>
      <c r="O476" s="961"/>
      <c r="P476" s="499">
        <v>1.03</v>
      </c>
      <c r="Q476" s="499">
        <v>1.17</v>
      </c>
    </row>
    <row r="477" spans="1:17" ht="12.75" customHeight="1">
      <c r="A477" s="491"/>
      <c r="B477" s="1012"/>
      <c r="C477" s="981"/>
      <c r="D477" s="982"/>
      <c r="E477" s="983"/>
      <c r="F477" s="990"/>
      <c r="G477" s="991"/>
      <c r="H477" s="991"/>
      <c r="I477" s="992"/>
      <c r="J477" s="867" t="s">
        <v>141</v>
      </c>
      <c r="K477" s="958" t="s">
        <v>140</v>
      </c>
      <c r="L477" s="959"/>
      <c r="M477" s="500" t="s">
        <v>140</v>
      </c>
      <c r="N477" s="960" t="s">
        <v>140</v>
      </c>
      <c r="O477" s="961"/>
      <c r="P477" s="498" t="s">
        <v>140</v>
      </c>
      <c r="Q477" s="498" t="s">
        <v>140</v>
      </c>
    </row>
    <row r="478" spans="1:17" ht="12.75" customHeight="1">
      <c r="A478" s="491"/>
      <c r="B478" s="1012"/>
      <c r="C478" s="981"/>
      <c r="D478" s="982"/>
      <c r="E478" s="983"/>
      <c r="F478" s="987" t="s">
        <v>308</v>
      </c>
      <c r="G478" s="988"/>
      <c r="H478" s="988"/>
      <c r="I478" s="989"/>
      <c r="J478" s="863" t="s">
        <v>162</v>
      </c>
      <c r="K478" s="975" t="s">
        <v>163</v>
      </c>
      <c r="L478" s="976"/>
      <c r="M478" s="496" t="s">
        <v>140</v>
      </c>
      <c r="N478" s="977">
        <v>27.3</v>
      </c>
      <c r="O478" s="961"/>
      <c r="P478" s="499">
        <v>27.3</v>
      </c>
      <c r="Q478" s="499">
        <v>36.9</v>
      </c>
    </row>
    <row r="479" spans="1:17" ht="12.75" customHeight="1">
      <c r="A479" s="491"/>
      <c r="B479" s="1012"/>
      <c r="C479" s="981"/>
      <c r="D479" s="982"/>
      <c r="E479" s="983"/>
      <c r="F479" s="993"/>
      <c r="G479" s="994"/>
      <c r="H479" s="994"/>
      <c r="I479" s="995"/>
      <c r="J479" s="863" t="s">
        <v>164</v>
      </c>
      <c r="K479" s="975" t="s">
        <v>165</v>
      </c>
      <c r="L479" s="976"/>
      <c r="M479" s="496" t="s">
        <v>140</v>
      </c>
      <c r="N479" s="977">
        <v>27.3</v>
      </c>
      <c r="O479" s="961"/>
      <c r="P479" s="499">
        <v>27.3</v>
      </c>
      <c r="Q479" s="499">
        <v>36.9</v>
      </c>
    </row>
    <row r="480" spans="1:17" ht="12.75" customHeight="1">
      <c r="A480" s="491"/>
      <c r="B480" s="1012"/>
      <c r="C480" s="981"/>
      <c r="D480" s="982"/>
      <c r="E480" s="983"/>
      <c r="F480" s="993"/>
      <c r="G480" s="994"/>
      <c r="H480" s="994"/>
      <c r="I480" s="995"/>
      <c r="J480" s="863" t="s">
        <v>178</v>
      </c>
      <c r="K480" s="975" t="s">
        <v>179</v>
      </c>
      <c r="L480" s="976"/>
      <c r="M480" s="496" t="s">
        <v>140</v>
      </c>
      <c r="N480" s="977">
        <v>62.47</v>
      </c>
      <c r="O480" s="961"/>
      <c r="P480" s="499">
        <v>62.47</v>
      </c>
      <c r="Q480" s="499">
        <v>169</v>
      </c>
    </row>
    <row r="481" spans="1:17" ht="12.75" customHeight="1">
      <c r="A481" s="491"/>
      <c r="B481" s="1012"/>
      <c r="C481" s="981"/>
      <c r="D481" s="982"/>
      <c r="E481" s="983"/>
      <c r="F481" s="993"/>
      <c r="G481" s="994"/>
      <c r="H481" s="994"/>
      <c r="I481" s="995"/>
      <c r="J481" s="863" t="s">
        <v>166</v>
      </c>
      <c r="K481" s="975" t="s">
        <v>167</v>
      </c>
      <c r="L481" s="976"/>
      <c r="M481" s="496" t="s">
        <v>140</v>
      </c>
      <c r="N481" s="977">
        <v>29.92</v>
      </c>
      <c r="O481" s="961"/>
      <c r="P481" s="499">
        <v>29.92</v>
      </c>
      <c r="Q481" s="499">
        <v>36.9</v>
      </c>
    </row>
    <row r="482" spans="1:17" ht="12.75" customHeight="1">
      <c r="A482" s="491"/>
      <c r="B482" s="1012"/>
      <c r="C482" s="981"/>
      <c r="D482" s="982"/>
      <c r="E482" s="983"/>
      <c r="F482" s="993"/>
      <c r="G482" s="994"/>
      <c r="H482" s="994"/>
      <c r="I482" s="995"/>
      <c r="J482" s="863" t="s">
        <v>168</v>
      </c>
      <c r="K482" s="975" t="s">
        <v>169</v>
      </c>
      <c r="L482" s="976"/>
      <c r="M482" s="496" t="s">
        <v>140</v>
      </c>
      <c r="N482" s="977">
        <v>29.92</v>
      </c>
      <c r="O482" s="961"/>
      <c r="P482" s="499">
        <v>29.92</v>
      </c>
      <c r="Q482" s="499">
        <v>36.9</v>
      </c>
    </row>
    <row r="483" spans="1:17" ht="12.75" customHeight="1">
      <c r="A483" s="491"/>
      <c r="B483" s="1012"/>
      <c r="C483" s="981"/>
      <c r="D483" s="982"/>
      <c r="E483" s="983"/>
      <c r="F483" s="990"/>
      <c r="G483" s="991"/>
      <c r="H483" s="991"/>
      <c r="I483" s="992"/>
      <c r="J483" s="867" t="s">
        <v>141</v>
      </c>
      <c r="K483" s="958" t="s">
        <v>140</v>
      </c>
      <c r="L483" s="959"/>
      <c r="M483" s="500" t="s">
        <v>140</v>
      </c>
      <c r="N483" s="960" t="s">
        <v>140</v>
      </c>
      <c r="O483" s="961"/>
      <c r="P483" s="498" t="s">
        <v>140</v>
      </c>
      <c r="Q483" s="498" t="s">
        <v>140</v>
      </c>
    </row>
    <row r="484" spans="1:17" ht="12.75" customHeight="1">
      <c r="A484" s="491"/>
      <c r="B484" s="1012"/>
      <c r="C484" s="981"/>
      <c r="D484" s="982"/>
      <c r="E484" s="983"/>
      <c r="F484" s="987" t="s">
        <v>309</v>
      </c>
      <c r="G484" s="988"/>
      <c r="H484" s="988"/>
      <c r="I484" s="989"/>
      <c r="J484" s="863" t="s">
        <v>162</v>
      </c>
      <c r="K484" s="975" t="s">
        <v>163</v>
      </c>
      <c r="L484" s="976"/>
      <c r="M484" s="496" t="s">
        <v>140</v>
      </c>
      <c r="N484" s="977">
        <v>27.3</v>
      </c>
      <c r="O484" s="961"/>
      <c r="P484" s="499">
        <v>27.3</v>
      </c>
      <c r="Q484" s="499">
        <v>37</v>
      </c>
    </row>
    <row r="485" spans="1:17" ht="12.75" customHeight="1">
      <c r="A485" s="491"/>
      <c r="B485" s="1012"/>
      <c r="C485" s="981"/>
      <c r="D485" s="982"/>
      <c r="E485" s="983"/>
      <c r="F485" s="993"/>
      <c r="G485" s="994"/>
      <c r="H485" s="994"/>
      <c r="I485" s="995"/>
      <c r="J485" s="863" t="s">
        <v>164</v>
      </c>
      <c r="K485" s="975" t="s">
        <v>165</v>
      </c>
      <c r="L485" s="976"/>
      <c r="M485" s="496" t="s">
        <v>140</v>
      </c>
      <c r="N485" s="977">
        <v>27.3</v>
      </c>
      <c r="O485" s="961"/>
      <c r="P485" s="499">
        <v>27.3</v>
      </c>
      <c r="Q485" s="499">
        <v>37</v>
      </c>
    </row>
    <row r="486" spans="1:17" ht="12.75" customHeight="1">
      <c r="A486" s="491"/>
      <c r="B486" s="1012"/>
      <c r="C486" s="981"/>
      <c r="D486" s="982"/>
      <c r="E486" s="983"/>
      <c r="F486" s="993"/>
      <c r="G486" s="994"/>
      <c r="H486" s="994"/>
      <c r="I486" s="995"/>
      <c r="J486" s="863" t="s">
        <v>166</v>
      </c>
      <c r="K486" s="975" t="s">
        <v>167</v>
      </c>
      <c r="L486" s="976"/>
      <c r="M486" s="496" t="s">
        <v>140</v>
      </c>
      <c r="N486" s="977">
        <v>29.92</v>
      </c>
      <c r="O486" s="961"/>
      <c r="P486" s="499">
        <v>29.92</v>
      </c>
      <c r="Q486" s="499">
        <v>37</v>
      </c>
    </row>
    <row r="487" spans="1:17" ht="12.75" customHeight="1">
      <c r="A487" s="491"/>
      <c r="B487" s="1012"/>
      <c r="C487" s="981"/>
      <c r="D487" s="982"/>
      <c r="E487" s="983"/>
      <c r="F487" s="993"/>
      <c r="G487" s="994"/>
      <c r="H487" s="994"/>
      <c r="I487" s="995"/>
      <c r="J487" s="863" t="s">
        <v>168</v>
      </c>
      <c r="K487" s="975" t="s">
        <v>169</v>
      </c>
      <c r="L487" s="976"/>
      <c r="M487" s="496" t="s">
        <v>140</v>
      </c>
      <c r="N487" s="977">
        <v>29.92</v>
      </c>
      <c r="O487" s="961"/>
      <c r="P487" s="499">
        <v>29.92</v>
      </c>
      <c r="Q487" s="499">
        <v>37</v>
      </c>
    </row>
    <row r="488" spans="1:17" ht="12.75" customHeight="1">
      <c r="A488" s="491"/>
      <c r="B488" s="1012"/>
      <c r="C488" s="981"/>
      <c r="D488" s="982"/>
      <c r="E488" s="983"/>
      <c r="F488" s="990"/>
      <c r="G488" s="991"/>
      <c r="H488" s="991"/>
      <c r="I488" s="992"/>
      <c r="J488" s="867" t="s">
        <v>141</v>
      </c>
      <c r="K488" s="958" t="s">
        <v>140</v>
      </c>
      <c r="L488" s="959"/>
      <c r="M488" s="500" t="s">
        <v>140</v>
      </c>
      <c r="N488" s="960" t="s">
        <v>140</v>
      </c>
      <c r="O488" s="961"/>
      <c r="P488" s="498" t="s">
        <v>140</v>
      </c>
      <c r="Q488" s="498" t="s">
        <v>140</v>
      </c>
    </row>
    <row r="489" spans="1:17" ht="12.75" customHeight="1">
      <c r="A489" s="491"/>
      <c r="B489" s="1012"/>
      <c r="C489" s="981"/>
      <c r="D489" s="982"/>
      <c r="E489" s="983"/>
      <c r="F489" s="987" t="s">
        <v>310</v>
      </c>
      <c r="G489" s="988"/>
      <c r="H489" s="988"/>
      <c r="I489" s="989"/>
      <c r="J489" s="863" t="s">
        <v>162</v>
      </c>
      <c r="K489" s="975" t="s">
        <v>163</v>
      </c>
      <c r="L489" s="976"/>
      <c r="M489" s="496" t="s">
        <v>140</v>
      </c>
      <c r="N489" s="977">
        <v>27.3</v>
      </c>
      <c r="O489" s="961"/>
      <c r="P489" s="499">
        <v>27.3</v>
      </c>
      <c r="Q489" s="499">
        <v>33.5</v>
      </c>
    </row>
    <row r="490" spans="1:17" ht="12.75" customHeight="1">
      <c r="A490" s="491"/>
      <c r="B490" s="1012"/>
      <c r="C490" s="981"/>
      <c r="D490" s="982"/>
      <c r="E490" s="983"/>
      <c r="F490" s="993"/>
      <c r="G490" s="994"/>
      <c r="H490" s="994"/>
      <c r="I490" s="995"/>
      <c r="J490" s="863" t="s">
        <v>164</v>
      </c>
      <c r="K490" s="975" t="s">
        <v>165</v>
      </c>
      <c r="L490" s="976"/>
      <c r="M490" s="496" t="s">
        <v>140</v>
      </c>
      <c r="N490" s="977">
        <v>27.3</v>
      </c>
      <c r="O490" s="961"/>
      <c r="P490" s="499">
        <v>27.3</v>
      </c>
      <c r="Q490" s="499">
        <v>33.5</v>
      </c>
    </row>
    <row r="491" spans="1:17" ht="12.75" customHeight="1">
      <c r="A491" s="491"/>
      <c r="B491" s="1012"/>
      <c r="C491" s="981"/>
      <c r="D491" s="982"/>
      <c r="E491" s="983"/>
      <c r="F491" s="993"/>
      <c r="G491" s="994"/>
      <c r="H491" s="994"/>
      <c r="I491" s="995"/>
      <c r="J491" s="863" t="s">
        <v>166</v>
      </c>
      <c r="K491" s="975" t="s">
        <v>167</v>
      </c>
      <c r="L491" s="976"/>
      <c r="M491" s="496" t="s">
        <v>140</v>
      </c>
      <c r="N491" s="977">
        <v>29.92</v>
      </c>
      <c r="O491" s="961"/>
      <c r="P491" s="499">
        <v>29.92</v>
      </c>
      <c r="Q491" s="499">
        <v>33.5</v>
      </c>
    </row>
    <row r="492" spans="1:17" ht="12.75" customHeight="1">
      <c r="A492" s="491"/>
      <c r="B492" s="1012"/>
      <c r="C492" s="981"/>
      <c r="D492" s="982"/>
      <c r="E492" s="983"/>
      <c r="F492" s="993"/>
      <c r="G492" s="994"/>
      <c r="H492" s="994"/>
      <c r="I492" s="995"/>
      <c r="J492" s="863" t="s">
        <v>168</v>
      </c>
      <c r="K492" s="975" t="s">
        <v>169</v>
      </c>
      <c r="L492" s="976"/>
      <c r="M492" s="496" t="s">
        <v>140</v>
      </c>
      <c r="N492" s="977">
        <v>29.92</v>
      </c>
      <c r="O492" s="961"/>
      <c r="P492" s="499">
        <v>29.92</v>
      </c>
      <c r="Q492" s="499">
        <v>33.5</v>
      </c>
    </row>
    <row r="493" spans="1:17" ht="12.75" customHeight="1">
      <c r="A493" s="491"/>
      <c r="B493" s="1012"/>
      <c r="C493" s="981"/>
      <c r="D493" s="982"/>
      <c r="E493" s="983"/>
      <c r="F493" s="990"/>
      <c r="G493" s="991"/>
      <c r="H493" s="991"/>
      <c r="I493" s="992"/>
      <c r="J493" s="867" t="s">
        <v>141</v>
      </c>
      <c r="K493" s="958" t="s">
        <v>140</v>
      </c>
      <c r="L493" s="959"/>
      <c r="M493" s="500" t="s">
        <v>140</v>
      </c>
      <c r="N493" s="960" t="s">
        <v>140</v>
      </c>
      <c r="O493" s="961"/>
      <c r="P493" s="498" t="s">
        <v>140</v>
      </c>
      <c r="Q493" s="498" t="s">
        <v>140</v>
      </c>
    </row>
    <row r="494" spans="1:17" ht="12.75" customHeight="1">
      <c r="A494" s="491"/>
      <c r="B494" s="1012"/>
      <c r="C494" s="981"/>
      <c r="D494" s="982"/>
      <c r="E494" s="983"/>
      <c r="F494" s="987" t="s">
        <v>311</v>
      </c>
      <c r="G494" s="988"/>
      <c r="H494" s="988"/>
      <c r="I494" s="989"/>
      <c r="J494" s="863" t="s">
        <v>162</v>
      </c>
      <c r="K494" s="975" t="s">
        <v>163</v>
      </c>
      <c r="L494" s="976"/>
      <c r="M494" s="496" t="s">
        <v>140</v>
      </c>
      <c r="N494" s="977">
        <v>27.3</v>
      </c>
      <c r="O494" s="961"/>
      <c r="P494" s="499">
        <v>27.3</v>
      </c>
      <c r="Q494" s="499">
        <v>31.5</v>
      </c>
    </row>
    <row r="495" spans="1:17" ht="12.75" customHeight="1">
      <c r="A495" s="491"/>
      <c r="B495" s="1012"/>
      <c r="C495" s="981"/>
      <c r="D495" s="982"/>
      <c r="E495" s="983"/>
      <c r="F495" s="993"/>
      <c r="G495" s="994"/>
      <c r="H495" s="994"/>
      <c r="I495" s="995"/>
      <c r="J495" s="863" t="s">
        <v>164</v>
      </c>
      <c r="K495" s="975" t="s">
        <v>165</v>
      </c>
      <c r="L495" s="976"/>
      <c r="M495" s="496" t="s">
        <v>140</v>
      </c>
      <c r="N495" s="977">
        <v>27.3</v>
      </c>
      <c r="O495" s="961"/>
      <c r="P495" s="499">
        <v>27.3</v>
      </c>
      <c r="Q495" s="499">
        <v>31.5</v>
      </c>
    </row>
    <row r="496" spans="1:17" ht="12.75" customHeight="1">
      <c r="A496" s="491"/>
      <c r="B496" s="1012"/>
      <c r="C496" s="981"/>
      <c r="D496" s="982"/>
      <c r="E496" s="983"/>
      <c r="F496" s="990"/>
      <c r="G496" s="991"/>
      <c r="H496" s="991"/>
      <c r="I496" s="992"/>
      <c r="J496" s="867" t="s">
        <v>141</v>
      </c>
      <c r="K496" s="958" t="s">
        <v>140</v>
      </c>
      <c r="L496" s="959"/>
      <c r="M496" s="500" t="s">
        <v>140</v>
      </c>
      <c r="N496" s="960" t="s">
        <v>140</v>
      </c>
      <c r="O496" s="961"/>
      <c r="P496" s="498" t="s">
        <v>140</v>
      </c>
      <c r="Q496" s="498" t="s">
        <v>140</v>
      </c>
    </row>
    <row r="497" spans="1:17" ht="12.75" customHeight="1">
      <c r="A497" s="491"/>
      <c r="B497" s="1012"/>
      <c r="C497" s="981"/>
      <c r="D497" s="982"/>
      <c r="E497" s="983"/>
      <c r="F497" s="987" t="s">
        <v>312</v>
      </c>
      <c r="G497" s="988"/>
      <c r="H497" s="988"/>
      <c r="I497" s="989"/>
      <c r="J497" s="863" t="s">
        <v>206</v>
      </c>
      <c r="K497" s="975" t="s">
        <v>207</v>
      </c>
      <c r="L497" s="976"/>
      <c r="M497" s="496" t="s">
        <v>140</v>
      </c>
      <c r="N497" s="977">
        <v>134.63999999999999</v>
      </c>
      <c r="O497" s="961"/>
      <c r="P497" s="499">
        <v>134.63999999999999</v>
      </c>
      <c r="Q497" s="499">
        <v>150</v>
      </c>
    </row>
    <row r="498" spans="1:17" ht="12.75" customHeight="1">
      <c r="A498" s="491"/>
      <c r="B498" s="1012"/>
      <c r="C498" s="981"/>
      <c r="D498" s="982"/>
      <c r="E498" s="983"/>
      <c r="F498" s="993"/>
      <c r="G498" s="994"/>
      <c r="H498" s="994"/>
      <c r="I498" s="995"/>
      <c r="J498" s="863" t="s">
        <v>208</v>
      </c>
      <c r="K498" s="975" t="s">
        <v>209</v>
      </c>
      <c r="L498" s="976"/>
      <c r="M498" s="496" t="s">
        <v>140</v>
      </c>
      <c r="N498" s="977">
        <v>16.829999999999998</v>
      </c>
      <c r="O498" s="961"/>
      <c r="P498" s="499">
        <v>16.829999999999998</v>
      </c>
      <c r="Q498" s="499">
        <v>18.75</v>
      </c>
    </row>
    <row r="499" spans="1:17" ht="12.75" customHeight="1">
      <c r="A499" s="491"/>
      <c r="B499" s="1012"/>
      <c r="C499" s="981"/>
      <c r="D499" s="982"/>
      <c r="E499" s="983"/>
      <c r="F499" s="990"/>
      <c r="G499" s="991"/>
      <c r="H499" s="991"/>
      <c r="I499" s="992"/>
      <c r="J499" s="867" t="s">
        <v>141</v>
      </c>
      <c r="K499" s="958" t="s">
        <v>140</v>
      </c>
      <c r="L499" s="959"/>
      <c r="M499" s="500" t="s">
        <v>140</v>
      </c>
      <c r="N499" s="960" t="s">
        <v>140</v>
      </c>
      <c r="O499" s="961"/>
      <c r="P499" s="498" t="s">
        <v>140</v>
      </c>
      <c r="Q499" s="498" t="s">
        <v>140</v>
      </c>
    </row>
    <row r="500" spans="1:17" ht="12.75" customHeight="1">
      <c r="A500" s="491"/>
      <c r="B500" s="1012"/>
      <c r="C500" s="981"/>
      <c r="D500" s="982"/>
      <c r="E500" s="983"/>
      <c r="F500" s="987" t="s">
        <v>161</v>
      </c>
      <c r="G500" s="988"/>
      <c r="H500" s="988"/>
      <c r="I500" s="989"/>
      <c r="J500" s="863" t="s">
        <v>162</v>
      </c>
      <c r="K500" s="975" t="s">
        <v>163</v>
      </c>
      <c r="L500" s="976"/>
      <c r="M500" s="496" t="s">
        <v>140</v>
      </c>
      <c r="N500" s="977">
        <v>27.3</v>
      </c>
      <c r="O500" s="961"/>
      <c r="P500" s="499">
        <v>27.3</v>
      </c>
      <c r="Q500" s="499">
        <v>35</v>
      </c>
    </row>
    <row r="501" spans="1:17" ht="12.75" customHeight="1">
      <c r="A501" s="491"/>
      <c r="B501" s="1012"/>
      <c r="C501" s="981"/>
      <c r="D501" s="982"/>
      <c r="E501" s="983"/>
      <c r="F501" s="993"/>
      <c r="G501" s="994"/>
      <c r="H501" s="994"/>
      <c r="I501" s="995"/>
      <c r="J501" s="863" t="s">
        <v>164</v>
      </c>
      <c r="K501" s="975" t="s">
        <v>165</v>
      </c>
      <c r="L501" s="976"/>
      <c r="M501" s="496" t="s">
        <v>140</v>
      </c>
      <c r="N501" s="977">
        <v>27.3</v>
      </c>
      <c r="O501" s="961"/>
      <c r="P501" s="499">
        <v>27.3</v>
      </c>
      <c r="Q501" s="499">
        <v>35</v>
      </c>
    </row>
    <row r="502" spans="1:17" ht="12.75" customHeight="1">
      <c r="A502" s="491"/>
      <c r="B502" s="1012"/>
      <c r="C502" s="981"/>
      <c r="D502" s="982"/>
      <c r="E502" s="983"/>
      <c r="F502" s="993"/>
      <c r="G502" s="994"/>
      <c r="H502" s="994"/>
      <c r="I502" s="995"/>
      <c r="J502" s="863" t="s">
        <v>166</v>
      </c>
      <c r="K502" s="975" t="s">
        <v>167</v>
      </c>
      <c r="L502" s="976"/>
      <c r="M502" s="496" t="s">
        <v>140</v>
      </c>
      <c r="N502" s="977">
        <v>29.92</v>
      </c>
      <c r="O502" s="961"/>
      <c r="P502" s="499">
        <v>29.92</v>
      </c>
      <c r="Q502" s="499">
        <v>35</v>
      </c>
    </row>
    <row r="503" spans="1:17" ht="12.75" customHeight="1">
      <c r="A503" s="491"/>
      <c r="B503" s="1012"/>
      <c r="C503" s="981"/>
      <c r="D503" s="982"/>
      <c r="E503" s="983"/>
      <c r="F503" s="993"/>
      <c r="G503" s="994"/>
      <c r="H503" s="994"/>
      <c r="I503" s="995"/>
      <c r="J503" s="863" t="s">
        <v>168</v>
      </c>
      <c r="K503" s="975" t="s">
        <v>169</v>
      </c>
      <c r="L503" s="976"/>
      <c r="M503" s="496" t="s">
        <v>140</v>
      </c>
      <c r="N503" s="977">
        <v>29.92</v>
      </c>
      <c r="O503" s="961"/>
      <c r="P503" s="499">
        <v>29.92</v>
      </c>
      <c r="Q503" s="499">
        <v>35</v>
      </c>
    </row>
    <row r="504" spans="1:17" ht="12.75" customHeight="1">
      <c r="A504" s="491"/>
      <c r="B504" s="1012"/>
      <c r="C504" s="981"/>
      <c r="D504" s="982"/>
      <c r="E504" s="983"/>
      <c r="F504" s="990"/>
      <c r="G504" s="991"/>
      <c r="H504" s="991"/>
      <c r="I504" s="992"/>
      <c r="J504" s="867" t="s">
        <v>141</v>
      </c>
      <c r="K504" s="958" t="s">
        <v>140</v>
      </c>
      <c r="L504" s="959"/>
      <c r="M504" s="500" t="s">
        <v>140</v>
      </c>
      <c r="N504" s="960" t="s">
        <v>140</v>
      </c>
      <c r="O504" s="961"/>
      <c r="P504" s="498" t="s">
        <v>140</v>
      </c>
      <c r="Q504" s="498" t="s">
        <v>140</v>
      </c>
    </row>
    <row r="505" spans="1:17" ht="12.75" customHeight="1">
      <c r="A505" s="491"/>
      <c r="B505" s="1012"/>
      <c r="C505" s="981"/>
      <c r="D505" s="982"/>
      <c r="E505" s="983"/>
      <c r="F505" s="987" t="s">
        <v>313</v>
      </c>
      <c r="G505" s="988"/>
      <c r="H505" s="988"/>
      <c r="I505" s="989"/>
      <c r="J505" s="863" t="s">
        <v>162</v>
      </c>
      <c r="K505" s="975" t="s">
        <v>163</v>
      </c>
      <c r="L505" s="976"/>
      <c r="M505" s="496" t="s">
        <v>140</v>
      </c>
      <c r="N505" s="977">
        <v>27.3</v>
      </c>
      <c r="O505" s="961"/>
      <c r="P505" s="499">
        <v>27.3</v>
      </c>
      <c r="Q505" s="499">
        <v>35</v>
      </c>
    </row>
    <row r="506" spans="1:17" ht="12.75" customHeight="1">
      <c r="A506" s="491"/>
      <c r="B506" s="1012"/>
      <c r="C506" s="981"/>
      <c r="D506" s="982"/>
      <c r="E506" s="983"/>
      <c r="F506" s="993"/>
      <c r="G506" s="994"/>
      <c r="H506" s="994"/>
      <c r="I506" s="995"/>
      <c r="J506" s="863" t="s">
        <v>164</v>
      </c>
      <c r="K506" s="975" t="s">
        <v>165</v>
      </c>
      <c r="L506" s="976"/>
      <c r="M506" s="496" t="s">
        <v>140</v>
      </c>
      <c r="N506" s="977">
        <v>27.3</v>
      </c>
      <c r="O506" s="961"/>
      <c r="P506" s="499">
        <v>27.3</v>
      </c>
      <c r="Q506" s="499">
        <v>35</v>
      </c>
    </row>
    <row r="507" spans="1:17" ht="12.75" customHeight="1">
      <c r="A507" s="491"/>
      <c r="B507" s="1012"/>
      <c r="C507" s="981"/>
      <c r="D507" s="982"/>
      <c r="E507" s="983"/>
      <c r="F507" s="993"/>
      <c r="G507" s="994"/>
      <c r="H507" s="994"/>
      <c r="I507" s="995"/>
      <c r="J507" s="863" t="s">
        <v>178</v>
      </c>
      <c r="K507" s="975" t="s">
        <v>179</v>
      </c>
      <c r="L507" s="976"/>
      <c r="M507" s="496" t="s">
        <v>140</v>
      </c>
      <c r="N507" s="977">
        <v>62.47</v>
      </c>
      <c r="O507" s="961"/>
      <c r="P507" s="499">
        <v>62.47</v>
      </c>
      <c r="Q507" s="499">
        <v>75</v>
      </c>
    </row>
    <row r="508" spans="1:17" ht="12.75" customHeight="1">
      <c r="A508" s="491"/>
      <c r="B508" s="1012"/>
      <c r="C508" s="981"/>
      <c r="D508" s="982"/>
      <c r="E508" s="983"/>
      <c r="F508" s="993"/>
      <c r="G508" s="994"/>
      <c r="H508" s="994"/>
      <c r="I508" s="995"/>
      <c r="J508" s="863" t="s">
        <v>166</v>
      </c>
      <c r="K508" s="975" t="s">
        <v>167</v>
      </c>
      <c r="L508" s="976"/>
      <c r="M508" s="496" t="s">
        <v>140</v>
      </c>
      <c r="N508" s="977">
        <v>29.75</v>
      </c>
      <c r="O508" s="961"/>
      <c r="P508" s="499">
        <v>29.75</v>
      </c>
      <c r="Q508" s="499">
        <v>35</v>
      </c>
    </row>
    <row r="509" spans="1:17" ht="12.75" customHeight="1">
      <c r="A509" s="491"/>
      <c r="B509" s="1012"/>
      <c r="C509" s="981"/>
      <c r="D509" s="982"/>
      <c r="E509" s="983"/>
      <c r="F509" s="993"/>
      <c r="G509" s="994"/>
      <c r="H509" s="994"/>
      <c r="I509" s="995"/>
      <c r="J509" s="863" t="s">
        <v>168</v>
      </c>
      <c r="K509" s="975" t="s">
        <v>169</v>
      </c>
      <c r="L509" s="976"/>
      <c r="M509" s="496" t="s">
        <v>140</v>
      </c>
      <c r="N509" s="977">
        <v>29.75</v>
      </c>
      <c r="O509" s="961"/>
      <c r="P509" s="499">
        <v>29.75</v>
      </c>
      <c r="Q509" s="499">
        <v>35</v>
      </c>
    </row>
    <row r="510" spans="1:17" ht="12.75" customHeight="1">
      <c r="A510" s="491"/>
      <c r="B510" s="1012"/>
      <c r="C510" s="981"/>
      <c r="D510" s="982"/>
      <c r="E510" s="983"/>
      <c r="F510" s="990"/>
      <c r="G510" s="991"/>
      <c r="H510" s="991"/>
      <c r="I510" s="992"/>
      <c r="J510" s="867" t="s">
        <v>141</v>
      </c>
      <c r="K510" s="958" t="s">
        <v>140</v>
      </c>
      <c r="L510" s="959"/>
      <c r="M510" s="500" t="s">
        <v>140</v>
      </c>
      <c r="N510" s="960" t="s">
        <v>140</v>
      </c>
      <c r="O510" s="961"/>
      <c r="P510" s="498" t="s">
        <v>140</v>
      </c>
      <c r="Q510" s="498" t="s">
        <v>140</v>
      </c>
    </row>
    <row r="511" spans="1:17" ht="12.75" customHeight="1">
      <c r="A511" s="491"/>
      <c r="B511" s="1012"/>
      <c r="C511" s="981"/>
      <c r="D511" s="982"/>
      <c r="E511" s="983"/>
      <c r="F511" s="987" t="s">
        <v>314</v>
      </c>
      <c r="G511" s="988"/>
      <c r="H511" s="988"/>
      <c r="I511" s="989"/>
      <c r="J511" s="863" t="s">
        <v>162</v>
      </c>
      <c r="K511" s="975" t="s">
        <v>163</v>
      </c>
      <c r="L511" s="976"/>
      <c r="M511" s="496" t="s">
        <v>140</v>
      </c>
      <c r="N511" s="977">
        <v>27.3</v>
      </c>
      <c r="O511" s="961"/>
      <c r="P511" s="499">
        <v>27.3</v>
      </c>
      <c r="Q511" s="499">
        <v>34</v>
      </c>
    </row>
    <row r="512" spans="1:17" ht="12.75" customHeight="1">
      <c r="A512" s="491"/>
      <c r="B512" s="1012"/>
      <c r="C512" s="981"/>
      <c r="D512" s="982"/>
      <c r="E512" s="983"/>
      <c r="F512" s="993"/>
      <c r="G512" s="994"/>
      <c r="H512" s="994"/>
      <c r="I512" s="995"/>
      <c r="J512" s="863" t="s">
        <v>164</v>
      </c>
      <c r="K512" s="975" t="s">
        <v>165</v>
      </c>
      <c r="L512" s="976"/>
      <c r="M512" s="496" t="s">
        <v>140</v>
      </c>
      <c r="N512" s="977">
        <v>27.3</v>
      </c>
      <c r="O512" s="961"/>
      <c r="P512" s="499">
        <v>27.3</v>
      </c>
      <c r="Q512" s="499">
        <v>34</v>
      </c>
    </row>
    <row r="513" spans="1:17" ht="12.75" customHeight="1">
      <c r="A513" s="491"/>
      <c r="B513" s="1012"/>
      <c r="C513" s="981"/>
      <c r="D513" s="982"/>
      <c r="E513" s="983"/>
      <c r="F513" s="993"/>
      <c r="G513" s="994"/>
      <c r="H513" s="994"/>
      <c r="I513" s="995"/>
      <c r="J513" s="863" t="s">
        <v>166</v>
      </c>
      <c r="K513" s="975" t="s">
        <v>167</v>
      </c>
      <c r="L513" s="976"/>
      <c r="M513" s="496" t="s">
        <v>140</v>
      </c>
      <c r="N513" s="977">
        <v>29.92</v>
      </c>
      <c r="O513" s="961"/>
      <c r="P513" s="499">
        <v>29.92</v>
      </c>
      <c r="Q513" s="499">
        <v>34</v>
      </c>
    </row>
    <row r="514" spans="1:17" ht="12.75" customHeight="1">
      <c r="A514" s="491"/>
      <c r="B514" s="1012"/>
      <c r="C514" s="981"/>
      <c r="D514" s="982"/>
      <c r="E514" s="983"/>
      <c r="F514" s="993"/>
      <c r="G514" s="994"/>
      <c r="H514" s="994"/>
      <c r="I514" s="995"/>
      <c r="J514" s="863" t="s">
        <v>168</v>
      </c>
      <c r="K514" s="975" t="s">
        <v>169</v>
      </c>
      <c r="L514" s="976"/>
      <c r="M514" s="496" t="s">
        <v>140</v>
      </c>
      <c r="N514" s="977">
        <v>29.92</v>
      </c>
      <c r="O514" s="961"/>
      <c r="P514" s="499">
        <v>29.92</v>
      </c>
      <c r="Q514" s="499">
        <v>34</v>
      </c>
    </row>
    <row r="515" spans="1:17" ht="12.75" customHeight="1">
      <c r="A515" s="491"/>
      <c r="B515" s="1012"/>
      <c r="C515" s="981"/>
      <c r="D515" s="982"/>
      <c r="E515" s="983"/>
      <c r="F515" s="990"/>
      <c r="G515" s="991"/>
      <c r="H515" s="991"/>
      <c r="I515" s="992"/>
      <c r="J515" s="867" t="s">
        <v>141</v>
      </c>
      <c r="K515" s="958" t="s">
        <v>140</v>
      </c>
      <c r="L515" s="959"/>
      <c r="M515" s="500" t="s">
        <v>140</v>
      </c>
      <c r="N515" s="960" t="s">
        <v>140</v>
      </c>
      <c r="O515" s="961"/>
      <c r="P515" s="498" t="s">
        <v>140</v>
      </c>
      <c r="Q515" s="498" t="s">
        <v>140</v>
      </c>
    </row>
    <row r="516" spans="1:17" ht="12.75" customHeight="1">
      <c r="A516" s="491"/>
      <c r="B516" s="1012"/>
      <c r="C516" s="981"/>
      <c r="D516" s="982"/>
      <c r="E516" s="983"/>
      <c r="F516" s="987" t="s">
        <v>170</v>
      </c>
      <c r="G516" s="988"/>
      <c r="H516" s="988"/>
      <c r="I516" s="989"/>
      <c r="J516" s="863" t="s">
        <v>162</v>
      </c>
      <c r="K516" s="975" t="s">
        <v>163</v>
      </c>
      <c r="L516" s="976"/>
      <c r="M516" s="496" t="s">
        <v>140</v>
      </c>
      <c r="N516" s="977">
        <v>27.3</v>
      </c>
      <c r="O516" s="961"/>
      <c r="P516" s="499">
        <v>27.3</v>
      </c>
      <c r="Q516" s="499">
        <v>32</v>
      </c>
    </row>
    <row r="517" spans="1:17" ht="12.75" customHeight="1">
      <c r="A517" s="491"/>
      <c r="B517" s="1012"/>
      <c r="C517" s="981"/>
      <c r="D517" s="982"/>
      <c r="E517" s="983"/>
      <c r="F517" s="993"/>
      <c r="G517" s="994"/>
      <c r="H517" s="994"/>
      <c r="I517" s="995"/>
      <c r="J517" s="863" t="s">
        <v>164</v>
      </c>
      <c r="K517" s="975" t="s">
        <v>165</v>
      </c>
      <c r="L517" s="976"/>
      <c r="M517" s="496" t="s">
        <v>140</v>
      </c>
      <c r="N517" s="977">
        <v>27.3</v>
      </c>
      <c r="O517" s="961"/>
      <c r="P517" s="499">
        <v>27.3</v>
      </c>
      <c r="Q517" s="499">
        <v>32</v>
      </c>
    </row>
    <row r="518" spans="1:17" ht="12.75" customHeight="1">
      <c r="A518" s="491"/>
      <c r="B518" s="1012"/>
      <c r="C518" s="981"/>
      <c r="D518" s="982"/>
      <c r="E518" s="983"/>
      <c r="F518" s="993"/>
      <c r="G518" s="994"/>
      <c r="H518" s="994"/>
      <c r="I518" s="995"/>
      <c r="J518" s="863" t="s">
        <v>166</v>
      </c>
      <c r="K518" s="975" t="s">
        <v>167</v>
      </c>
      <c r="L518" s="976"/>
      <c r="M518" s="496" t="s">
        <v>140</v>
      </c>
      <c r="N518" s="977">
        <v>29.92</v>
      </c>
      <c r="O518" s="961"/>
      <c r="P518" s="499">
        <v>29.92</v>
      </c>
      <c r="Q518" s="499">
        <v>36</v>
      </c>
    </row>
    <row r="519" spans="1:17" ht="12.75" customHeight="1">
      <c r="A519" s="491"/>
      <c r="B519" s="1012"/>
      <c r="C519" s="981"/>
      <c r="D519" s="982"/>
      <c r="E519" s="983"/>
      <c r="F519" s="993"/>
      <c r="G519" s="994"/>
      <c r="H519" s="994"/>
      <c r="I519" s="995"/>
      <c r="J519" s="863" t="s">
        <v>168</v>
      </c>
      <c r="K519" s="975" t="s">
        <v>169</v>
      </c>
      <c r="L519" s="976"/>
      <c r="M519" s="496" t="s">
        <v>140</v>
      </c>
      <c r="N519" s="977">
        <v>29.92</v>
      </c>
      <c r="O519" s="961"/>
      <c r="P519" s="499">
        <v>29.92</v>
      </c>
      <c r="Q519" s="499">
        <v>36</v>
      </c>
    </row>
    <row r="520" spans="1:17" ht="12.75" customHeight="1">
      <c r="A520" s="491"/>
      <c r="B520" s="1012"/>
      <c r="C520" s="981"/>
      <c r="D520" s="982"/>
      <c r="E520" s="983"/>
      <c r="F520" s="990"/>
      <c r="G520" s="991"/>
      <c r="H520" s="991"/>
      <c r="I520" s="992"/>
      <c r="J520" s="867" t="s">
        <v>141</v>
      </c>
      <c r="K520" s="958" t="s">
        <v>140</v>
      </c>
      <c r="L520" s="959"/>
      <c r="M520" s="500" t="s">
        <v>140</v>
      </c>
      <c r="N520" s="960" t="s">
        <v>140</v>
      </c>
      <c r="O520" s="961"/>
      <c r="P520" s="498" t="s">
        <v>140</v>
      </c>
      <c r="Q520" s="498" t="s">
        <v>140</v>
      </c>
    </row>
    <row r="521" spans="1:17" ht="12.75" customHeight="1">
      <c r="A521" s="491"/>
      <c r="B521" s="1012"/>
      <c r="C521" s="981"/>
      <c r="D521" s="982"/>
      <c r="E521" s="983"/>
      <c r="F521" s="987" t="s">
        <v>315</v>
      </c>
      <c r="G521" s="988"/>
      <c r="H521" s="988"/>
      <c r="I521" s="989"/>
      <c r="J521" s="863" t="s">
        <v>162</v>
      </c>
      <c r="K521" s="975" t="s">
        <v>163</v>
      </c>
      <c r="L521" s="976"/>
      <c r="M521" s="496" t="s">
        <v>140</v>
      </c>
      <c r="N521" s="977">
        <v>27</v>
      </c>
      <c r="O521" s="961"/>
      <c r="P521" s="499">
        <v>27</v>
      </c>
      <c r="Q521" s="499">
        <v>35</v>
      </c>
    </row>
    <row r="522" spans="1:17" ht="12.75" customHeight="1">
      <c r="A522" s="491"/>
      <c r="B522" s="1012"/>
      <c r="C522" s="981"/>
      <c r="D522" s="982"/>
      <c r="E522" s="983"/>
      <c r="F522" s="993"/>
      <c r="G522" s="994"/>
      <c r="H522" s="994"/>
      <c r="I522" s="995"/>
      <c r="J522" s="863" t="s">
        <v>164</v>
      </c>
      <c r="K522" s="975" t="s">
        <v>165</v>
      </c>
      <c r="L522" s="976"/>
      <c r="M522" s="496" t="s">
        <v>140</v>
      </c>
      <c r="N522" s="977">
        <v>27</v>
      </c>
      <c r="O522" s="961"/>
      <c r="P522" s="499">
        <v>27</v>
      </c>
      <c r="Q522" s="499">
        <v>35</v>
      </c>
    </row>
    <row r="523" spans="1:17" ht="12.75" customHeight="1">
      <c r="A523" s="491"/>
      <c r="B523" s="1012"/>
      <c r="C523" s="981"/>
      <c r="D523" s="982"/>
      <c r="E523" s="983"/>
      <c r="F523" s="993"/>
      <c r="G523" s="994"/>
      <c r="H523" s="994"/>
      <c r="I523" s="995"/>
      <c r="J523" s="863" t="s">
        <v>178</v>
      </c>
      <c r="K523" s="975" t="s">
        <v>179</v>
      </c>
      <c r="L523" s="976"/>
      <c r="M523" s="496" t="s">
        <v>140</v>
      </c>
      <c r="N523" s="977">
        <v>54</v>
      </c>
      <c r="O523" s="961"/>
      <c r="P523" s="499">
        <v>54</v>
      </c>
      <c r="Q523" s="499">
        <v>60</v>
      </c>
    </row>
    <row r="524" spans="1:17" ht="12.75" customHeight="1">
      <c r="A524" s="491"/>
      <c r="B524" s="1012"/>
      <c r="C524" s="981"/>
      <c r="D524" s="982"/>
      <c r="E524" s="983"/>
      <c r="F524" s="993"/>
      <c r="G524" s="994"/>
      <c r="H524" s="994"/>
      <c r="I524" s="995"/>
      <c r="J524" s="863" t="s">
        <v>166</v>
      </c>
      <c r="K524" s="975" t="s">
        <v>167</v>
      </c>
      <c r="L524" s="976"/>
      <c r="M524" s="496" t="s">
        <v>140</v>
      </c>
      <c r="N524" s="977">
        <v>29</v>
      </c>
      <c r="O524" s="961"/>
      <c r="P524" s="499">
        <v>29</v>
      </c>
      <c r="Q524" s="499">
        <v>35</v>
      </c>
    </row>
    <row r="525" spans="1:17" ht="12.75" customHeight="1">
      <c r="A525" s="491"/>
      <c r="B525" s="1012"/>
      <c r="C525" s="981"/>
      <c r="D525" s="982"/>
      <c r="E525" s="983"/>
      <c r="F525" s="993"/>
      <c r="G525" s="994"/>
      <c r="H525" s="994"/>
      <c r="I525" s="995"/>
      <c r="J525" s="863" t="s">
        <v>168</v>
      </c>
      <c r="K525" s="975" t="s">
        <v>169</v>
      </c>
      <c r="L525" s="976"/>
      <c r="M525" s="496" t="s">
        <v>140</v>
      </c>
      <c r="N525" s="977">
        <v>29</v>
      </c>
      <c r="O525" s="961"/>
      <c r="P525" s="499">
        <v>29</v>
      </c>
      <c r="Q525" s="499">
        <v>35</v>
      </c>
    </row>
    <row r="526" spans="1:17" ht="12.75" customHeight="1">
      <c r="A526" s="491"/>
      <c r="B526" s="1012"/>
      <c r="C526" s="981"/>
      <c r="D526" s="982"/>
      <c r="E526" s="983"/>
      <c r="F526" s="990"/>
      <c r="G526" s="991"/>
      <c r="H526" s="991"/>
      <c r="I526" s="992"/>
      <c r="J526" s="867" t="s">
        <v>141</v>
      </c>
      <c r="K526" s="958" t="s">
        <v>140</v>
      </c>
      <c r="L526" s="959"/>
      <c r="M526" s="500" t="s">
        <v>140</v>
      </c>
      <c r="N526" s="960" t="s">
        <v>140</v>
      </c>
      <c r="O526" s="961"/>
      <c r="P526" s="498" t="s">
        <v>140</v>
      </c>
      <c r="Q526" s="498" t="s">
        <v>140</v>
      </c>
    </row>
    <row r="527" spans="1:17" ht="12.75" customHeight="1">
      <c r="A527" s="491"/>
      <c r="B527" s="1012"/>
      <c r="C527" s="981"/>
      <c r="D527" s="982"/>
      <c r="E527" s="983"/>
      <c r="F527" s="987" t="s">
        <v>316</v>
      </c>
      <c r="G527" s="988"/>
      <c r="H527" s="988"/>
      <c r="I527" s="989"/>
      <c r="J527" s="863" t="s">
        <v>172</v>
      </c>
      <c r="K527" s="975" t="s">
        <v>173</v>
      </c>
      <c r="L527" s="976"/>
      <c r="M527" s="496" t="s">
        <v>140</v>
      </c>
      <c r="N527" s="977">
        <v>44.88</v>
      </c>
      <c r="O527" s="961"/>
      <c r="P527" s="499">
        <v>44.88</v>
      </c>
      <c r="Q527" s="499">
        <v>50</v>
      </c>
    </row>
    <row r="528" spans="1:17" ht="12.75" customHeight="1">
      <c r="A528" s="491"/>
      <c r="B528" s="1012"/>
      <c r="C528" s="981"/>
      <c r="D528" s="982"/>
      <c r="E528" s="983"/>
      <c r="F528" s="993"/>
      <c r="G528" s="994"/>
      <c r="H528" s="994"/>
      <c r="I528" s="995"/>
      <c r="J528" s="863" t="s">
        <v>162</v>
      </c>
      <c r="K528" s="975" t="s">
        <v>163</v>
      </c>
      <c r="L528" s="976"/>
      <c r="M528" s="496" t="s">
        <v>140</v>
      </c>
      <c r="N528" s="977">
        <v>25</v>
      </c>
      <c r="O528" s="961"/>
      <c r="P528" s="499">
        <v>25</v>
      </c>
      <c r="Q528" s="499">
        <v>28</v>
      </c>
    </row>
    <row r="529" spans="1:17" ht="12.75" customHeight="1">
      <c r="A529" s="491"/>
      <c r="B529" s="1012"/>
      <c r="C529" s="981"/>
      <c r="D529" s="982"/>
      <c r="E529" s="983"/>
      <c r="F529" s="993"/>
      <c r="G529" s="994"/>
      <c r="H529" s="994"/>
      <c r="I529" s="995"/>
      <c r="J529" s="863" t="s">
        <v>174</v>
      </c>
      <c r="K529" s="975" t="s">
        <v>175</v>
      </c>
      <c r="L529" s="976"/>
      <c r="M529" s="496" t="s">
        <v>140</v>
      </c>
      <c r="N529" s="977">
        <v>48.1</v>
      </c>
      <c r="O529" s="961"/>
      <c r="P529" s="499">
        <v>48.1</v>
      </c>
      <c r="Q529" s="499">
        <v>54</v>
      </c>
    </row>
    <row r="530" spans="1:17" ht="12.75" customHeight="1">
      <c r="A530" s="491"/>
      <c r="B530" s="1012"/>
      <c r="C530" s="981"/>
      <c r="D530" s="982"/>
      <c r="E530" s="983"/>
      <c r="F530" s="993"/>
      <c r="G530" s="994"/>
      <c r="H530" s="994"/>
      <c r="I530" s="995"/>
      <c r="J530" s="863" t="s">
        <v>176</v>
      </c>
      <c r="K530" s="975" t="s">
        <v>177</v>
      </c>
      <c r="L530" s="976"/>
      <c r="M530" s="496" t="s">
        <v>140</v>
      </c>
      <c r="N530" s="977">
        <v>26</v>
      </c>
      <c r="O530" s="961"/>
      <c r="P530" s="499">
        <v>26</v>
      </c>
      <c r="Q530" s="499">
        <v>29</v>
      </c>
    </row>
    <row r="531" spans="1:17" ht="12.75" customHeight="1">
      <c r="A531" s="491"/>
      <c r="B531" s="1012"/>
      <c r="C531" s="981"/>
      <c r="D531" s="982"/>
      <c r="E531" s="983"/>
      <c r="F531" s="993"/>
      <c r="G531" s="994"/>
      <c r="H531" s="994"/>
      <c r="I531" s="995"/>
      <c r="J531" s="863" t="s">
        <v>164</v>
      </c>
      <c r="K531" s="975" t="s">
        <v>165</v>
      </c>
      <c r="L531" s="976"/>
      <c r="M531" s="496" t="s">
        <v>140</v>
      </c>
      <c r="N531" s="977">
        <v>25</v>
      </c>
      <c r="O531" s="961"/>
      <c r="P531" s="499">
        <v>25</v>
      </c>
      <c r="Q531" s="499">
        <v>28</v>
      </c>
    </row>
    <row r="532" spans="1:17" ht="12.75" customHeight="1">
      <c r="A532" s="491"/>
      <c r="B532" s="1012"/>
      <c r="C532" s="981"/>
      <c r="D532" s="982"/>
      <c r="E532" s="983"/>
      <c r="F532" s="993"/>
      <c r="G532" s="994"/>
      <c r="H532" s="994"/>
      <c r="I532" s="995"/>
      <c r="J532" s="863" t="s">
        <v>178</v>
      </c>
      <c r="K532" s="975" t="s">
        <v>179</v>
      </c>
      <c r="L532" s="976"/>
      <c r="M532" s="496" t="s">
        <v>140</v>
      </c>
      <c r="N532" s="977">
        <v>62.47</v>
      </c>
      <c r="O532" s="961"/>
      <c r="P532" s="499">
        <v>62.47</v>
      </c>
      <c r="Q532" s="499">
        <v>5</v>
      </c>
    </row>
    <row r="533" spans="1:17" ht="12.75" customHeight="1">
      <c r="A533" s="491"/>
      <c r="B533" s="1012"/>
      <c r="C533" s="981"/>
      <c r="D533" s="982"/>
      <c r="E533" s="983"/>
      <c r="F533" s="993"/>
      <c r="G533" s="994"/>
      <c r="H533" s="994"/>
      <c r="I533" s="995"/>
      <c r="J533" s="863" t="s">
        <v>166</v>
      </c>
      <c r="K533" s="975" t="s">
        <v>167</v>
      </c>
      <c r="L533" s="976"/>
      <c r="M533" s="496" t="s">
        <v>140</v>
      </c>
      <c r="N533" s="977">
        <v>26</v>
      </c>
      <c r="O533" s="961"/>
      <c r="P533" s="499">
        <v>26</v>
      </c>
      <c r="Q533" s="499">
        <v>29</v>
      </c>
    </row>
    <row r="534" spans="1:17" ht="12.75" customHeight="1">
      <c r="A534" s="491"/>
      <c r="B534" s="1012"/>
      <c r="C534" s="981"/>
      <c r="D534" s="982"/>
      <c r="E534" s="983"/>
      <c r="F534" s="993"/>
      <c r="G534" s="994"/>
      <c r="H534" s="994"/>
      <c r="I534" s="995"/>
      <c r="J534" s="863" t="s">
        <v>168</v>
      </c>
      <c r="K534" s="975" t="s">
        <v>169</v>
      </c>
      <c r="L534" s="976"/>
      <c r="M534" s="496" t="s">
        <v>140</v>
      </c>
      <c r="N534" s="977">
        <v>26</v>
      </c>
      <c r="O534" s="961"/>
      <c r="P534" s="499">
        <v>26</v>
      </c>
      <c r="Q534" s="499">
        <v>29</v>
      </c>
    </row>
    <row r="535" spans="1:17" ht="12.75" customHeight="1">
      <c r="A535" s="491"/>
      <c r="B535" s="1012"/>
      <c r="C535" s="981"/>
      <c r="D535" s="982"/>
      <c r="E535" s="983"/>
      <c r="F535" s="990"/>
      <c r="G535" s="991"/>
      <c r="H535" s="991"/>
      <c r="I535" s="992"/>
      <c r="J535" s="867" t="s">
        <v>141</v>
      </c>
      <c r="K535" s="958" t="s">
        <v>140</v>
      </c>
      <c r="L535" s="959"/>
      <c r="M535" s="500" t="s">
        <v>140</v>
      </c>
      <c r="N535" s="960" t="s">
        <v>140</v>
      </c>
      <c r="O535" s="961"/>
      <c r="P535" s="498" t="s">
        <v>140</v>
      </c>
      <c r="Q535" s="498" t="s">
        <v>140</v>
      </c>
    </row>
    <row r="536" spans="1:17" ht="12.75" customHeight="1">
      <c r="A536" s="491"/>
      <c r="B536" s="1012"/>
      <c r="C536" s="981"/>
      <c r="D536" s="982"/>
      <c r="E536" s="983"/>
      <c r="F536" s="987" t="s">
        <v>317</v>
      </c>
      <c r="G536" s="988"/>
      <c r="H536" s="988"/>
      <c r="I536" s="989"/>
      <c r="J536" s="863" t="s">
        <v>162</v>
      </c>
      <c r="K536" s="975" t="s">
        <v>163</v>
      </c>
      <c r="L536" s="976"/>
      <c r="M536" s="496" t="s">
        <v>140</v>
      </c>
      <c r="N536" s="977">
        <v>27.3</v>
      </c>
      <c r="O536" s="961"/>
      <c r="P536" s="499">
        <v>27.3</v>
      </c>
      <c r="Q536" s="499">
        <v>38</v>
      </c>
    </row>
    <row r="537" spans="1:17" ht="12.75" customHeight="1">
      <c r="A537" s="491"/>
      <c r="B537" s="1012"/>
      <c r="C537" s="981"/>
      <c r="D537" s="982"/>
      <c r="E537" s="983"/>
      <c r="F537" s="993"/>
      <c r="G537" s="994"/>
      <c r="H537" s="994"/>
      <c r="I537" s="995"/>
      <c r="J537" s="863" t="s">
        <v>164</v>
      </c>
      <c r="K537" s="975" t="s">
        <v>165</v>
      </c>
      <c r="L537" s="976"/>
      <c r="M537" s="496" t="s">
        <v>140</v>
      </c>
      <c r="N537" s="977">
        <v>27.3</v>
      </c>
      <c r="O537" s="961"/>
      <c r="P537" s="499">
        <v>27.3</v>
      </c>
      <c r="Q537" s="499">
        <v>38</v>
      </c>
    </row>
    <row r="538" spans="1:17" ht="12.75" customHeight="1">
      <c r="A538" s="491"/>
      <c r="B538" s="1012"/>
      <c r="C538" s="981"/>
      <c r="D538" s="982"/>
      <c r="E538" s="983"/>
      <c r="F538" s="993"/>
      <c r="G538" s="994"/>
      <c r="H538" s="994"/>
      <c r="I538" s="995"/>
      <c r="J538" s="863" t="s">
        <v>178</v>
      </c>
      <c r="K538" s="975" t="s">
        <v>179</v>
      </c>
      <c r="L538" s="976"/>
      <c r="M538" s="496" t="s">
        <v>140</v>
      </c>
      <c r="N538" s="977">
        <v>62.47</v>
      </c>
      <c r="O538" s="961"/>
      <c r="P538" s="499">
        <v>62.47</v>
      </c>
      <c r="Q538" s="499">
        <v>120</v>
      </c>
    </row>
    <row r="539" spans="1:17" ht="12.75" customHeight="1">
      <c r="A539" s="491"/>
      <c r="B539" s="1012"/>
      <c r="C539" s="981"/>
      <c r="D539" s="982"/>
      <c r="E539" s="983"/>
      <c r="F539" s="993"/>
      <c r="G539" s="994"/>
      <c r="H539" s="994"/>
      <c r="I539" s="995"/>
      <c r="J539" s="863" t="s">
        <v>166</v>
      </c>
      <c r="K539" s="975" t="s">
        <v>167</v>
      </c>
      <c r="L539" s="976"/>
      <c r="M539" s="496" t="s">
        <v>140</v>
      </c>
      <c r="N539" s="977">
        <v>29.92</v>
      </c>
      <c r="O539" s="961"/>
      <c r="P539" s="499">
        <v>29.92</v>
      </c>
      <c r="Q539" s="499">
        <v>40</v>
      </c>
    </row>
    <row r="540" spans="1:17" ht="12.75" customHeight="1">
      <c r="A540" s="491"/>
      <c r="B540" s="1012"/>
      <c r="C540" s="981"/>
      <c r="D540" s="982"/>
      <c r="E540" s="983"/>
      <c r="F540" s="993"/>
      <c r="G540" s="994"/>
      <c r="H540" s="994"/>
      <c r="I540" s="995"/>
      <c r="J540" s="863" t="s">
        <v>168</v>
      </c>
      <c r="K540" s="975" t="s">
        <v>169</v>
      </c>
      <c r="L540" s="976"/>
      <c r="M540" s="496" t="s">
        <v>140</v>
      </c>
      <c r="N540" s="977">
        <v>29.92</v>
      </c>
      <c r="O540" s="961"/>
      <c r="P540" s="499">
        <v>29.92</v>
      </c>
      <c r="Q540" s="499">
        <v>50</v>
      </c>
    </row>
    <row r="541" spans="1:17" ht="12.75" customHeight="1">
      <c r="A541" s="491"/>
      <c r="B541" s="1012"/>
      <c r="C541" s="981"/>
      <c r="D541" s="982"/>
      <c r="E541" s="983"/>
      <c r="F541" s="993"/>
      <c r="G541" s="994"/>
      <c r="H541" s="994"/>
      <c r="I541" s="995"/>
      <c r="J541" s="863" t="s">
        <v>219</v>
      </c>
      <c r="K541" s="975" t="s">
        <v>220</v>
      </c>
      <c r="L541" s="976"/>
      <c r="M541" s="496" t="s">
        <v>140</v>
      </c>
      <c r="N541" s="977">
        <v>46.72</v>
      </c>
      <c r="O541" s="961"/>
      <c r="P541" s="499">
        <v>46.72</v>
      </c>
      <c r="Q541" s="499">
        <v>75</v>
      </c>
    </row>
    <row r="542" spans="1:17" ht="12.75" customHeight="1">
      <c r="A542" s="491"/>
      <c r="B542" s="1012"/>
      <c r="C542" s="981"/>
      <c r="D542" s="982"/>
      <c r="E542" s="983"/>
      <c r="F542" s="993"/>
      <c r="G542" s="994"/>
      <c r="H542" s="994"/>
      <c r="I542" s="995"/>
      <c r="J542" s="863" t="s">
        <v>221</v>
      </c>
      <c r="K542" s="975" t="s">
        <v>222</v>
      </c>
      <c r="L542" s="976"/>
      <c r="M542" s="496" t="s">
        <v>140</v>
      </c>
      <c r="N542" s="977">
        <v>43.05</v>
      </c>
      <c r="O542" s="961"/>
      <c r="P542" s="499">
        <v>43.05</v>
      </c>
      <c r="Q542" s="499">
        <v>60</v>
      </c>
    </row>
    <row r="543" spans="1:17" ht="12.75" customHeight="1">
      <c r="A543" s="491"/>
      <c r="B543" s="1012"/>
      <c r="C543" s="981"/>
      <c r="D543" s="982"/>
      <c r="E543" s="983"/>
      <c r="F543" s="990"/>
      <c r="G543" s="991"/>
      <c r="H543" s="991"/>
      <c r="I543" s="992"/>
      <c r="J543" s="867" t="s">
        <v>141</v>
      </c>
      <c r="K543" s="958" t="s">
        <v>140</v>
      </c>
      <c r="L543" s="959"/>
      <c r="M543" s="500" t="s">
        <v>140</v>
      </c>
      <c r="N543" s="960" t="s">
        <v>140</v>
      </c>
      <c r="O543" s="961"/>
      <c r="P543" s="498" t="s">
        <v>140</v>
      </c>
      <c r="Q543" s="498" t="s">
        <v>140</v>
      </c>
    </row>
    <row r="544" spans="1:17" ht="12.75" customHeight="1">
      <c r="A544" s="491"/>
      <c r="B544" s="1012"/>
      <c r="C544" s="981"/>
      <c r="D544" s="982"/>
      <c r="E544" s="983"/>
      <c r="F544" s="987" t="s">
        <v>318</v>
      </c>
      <c r="G544" s="988"/>
      <c r="H544" s="988"/>
      <c r="I544" s="989"/>
      <c r="J544" s="863" t="s">
        <v>213</v>
      </c>
      <c r="K544" s="975" t="s">
        <v>214</v>
      </c>
      <c r="L544" s="976"/>
      <c r="M544" s="496" t="s">
        <v>140</v>
      </c>
      <c r="N544" s="977">
        <v>0</v>
      </c>
      <c r="O544" s="961"/>
      <c r="P544" s="499">
        <v>0</v>
      </c>
      <c r="Q544" s="498" t="s">
        <v>140</v>
      </c>
    </row>
    <row r="545" spans="1:17" ht="12.75" customHeight="1">
      <c r="A545" s="491"/>
      <c r="B545" s="1012"/>
      <c r="C545" s="981"/>
      <c r="D545" s="982"/>
      <c r="E545" s="983"/>
      <c r="F545" s="993"/>
      <c r="G545" s="994"/>
      <c r="H545" s="994"/>
      <c r="I545" s="995"/>
      <c r="J545" s="863" t="s">
        <v>215</v>
      </c>
      <c r="K545" s="975" t="s">
        <v>216</v>
      </c>
      <c r="L545" s="976"/>
      <c r="M545" s="496" t="s">
        <v>140</v>
      </c>
      <c r="N545" s="977">
        <v>0</v>
      </c>
      <c r="O545" s="961"/>
      <c r="P545" s="499">
        <v>0</v>
      </c>
      <c r="Q545" s="498" t="s">
        <v>140</v>
      </c>
    </row>
    <row r="546" spans="1:17" ht="12.75" customHeight="1">
      <c r="A546" s="491"/>
      <c r="B546" s="1012"/>
      <c r="C546" s="981"/>
      <c r="D546" s="982"/>
      <c r="E546" s="983"/>
      <c r="F546" s="993"/>
      <c r="G546" s="994"/>
      <c r="H546" s="994"/>
      <c r="I546" s="995"/>
      <c r="J546" s="863" t="s">
        <v>144</v>
      </c>
      <c r="K546" s="975" t="s">
        <v>145</v>
      </c>
      <c r="L546" s="976"/>
      <c r="M546" s="496" t="s">
        <v>140</v>
      </c>
      <c r="N546" s="977">
        <v>0</v>
      </c>
      <c r="O546" s="961"/>
      <c r="P546" s="499">
        <v>0</v>
      </c>
      <c r="Q546" s="498" t="s">
        <v>140</v>
      </c>
    </row>
    <row r="547" spans="1:17" ht="12.75" customHeight="1">
      <c r="A547" s="491"/>
      <c r="B547" s="1012"/>
      <c r="C547" s="981"/>
      <c r="D547" s="982"/>
      <c r="E547" s="983"/>
      <c r="F547" s="993"/>
      <c r="G547" s="994"/>
      <c r="H547" s="994"/>
      <c r="I547" s="995"/>
      <c r="J547" s="863" t="s">
        <v>182</v>
      </c>
      <c r="K547" s="975" t="s">
        <v>183</v>
      </c>
      <c r="L547" s="976"/>
      <c r="M547" s="496" t="s">
        <v>140</v>
      </c>
      <c r="N547" s="977">
        <v>0</v>
      </c>
      <c r="O547" s="961"/>
      <c r="P547" s="499">
        <v>0</v>
      </c>
      <c r="Q547" s="498" t="s">
        <v>140</v>
      </c>
    </row>
    <row r="548" spans="1:17" ht="12.75" customHeight="1">
      <c r="A548" s="491"/>
      <c r="B548" s="1012"/>
      <c r="C548" s="981"/>
      <c r="D548" s="982"/>
      <c r="E548" s="983"/>
      <c r="F548" s="990"/>
      <c r="G548" s="991"/>
      <c r="H548" s="991"/>
      <c r="I548" s="992"/>
      <c r="J548" s="867" t="s">
        <v>141</v>
      </c>
      <c r="K548" s="958" t="s">
        <v>140</v>
      </c>
      <c r="L548" s="959"/>
      <c r="M548" s="500" t="s">
        <v>140</v>
      </c>
      <c r="N548" s="960" t="s">
        <v>140</v>
      </c>
      <c r="O548" s="961"/>
      <c r="P548" s="498" t="s">
        <v>140</v>
      </c>
      <c r="Q548" s="498" t="s">
        <v>140</v>
      </c>
    </row>
    <row r="549" spans="1:17" ht="12.75" customHeight="1">
      <c r="A549" s="491"/>
      <c r="B549" s="1012"/>
      <c r="C549" s="981"/>
      <c r="D549" s="982"/>
      <c r="E549" s="983"/>
      <c r="F549" s="987" t="s">
        <v>319</v>
      </c>
      <c r="G549" s="988"/>
      <c r="H549" s="988"/>
      <c r="I549" s="989"/>
      <c r="J549" s="863" t="s">
        <v>213</v>
      </c>
      <c r="K549" s="975" t="s">
        <v>214</v>
      </c>
      <c r="L549" s="976"/>
      <c r="M549" s="496" t="s">
        <v>140</v>
      </c>
      <c r="N549" s="977">
        <v>0</v>
      </c>
      <c r="O549" s="961"/>
      <c r="P549" s="499">
        <v>0</v>
      </c>
      <c r="Q549" s="499">
        <v>0</v>
      </c>
    </row>
    <row r="550" spans="1:17" ht="12.75" customHeight="1">
      <c r="A550" s="491"/>
      <c r="B550" s="1012"/>
      <c r="C550" s="981"/>
      <c r="D550" s="982"/>
      <c r="E550" s="983"/>
      <c r="F550" s="993"/>
      <c r="G550" s="994"/>
      <c r="H550" s="994"/>
      <c r="I550" s="995"/>
      <c r="J550" s="863" t="s">
        <v>215</v>
      </c>
      <c r="K550" s="975" t="s">
        <v>216</v>
      </c>
      <c r="L550" s="976"/>
      <c r="M550" s="496" t="s">
        <v>140</v>
      </c>
      <c r="N550" s="977">
        <v>0</v>
      </c>
      <c r="O550" s="961"/>
      <c r="P550" s="499">
        <v>0</v>
      </c>
      <c r="Q550" s="499">
        <v>0</v>
      </c>
    </row>
    <row r="551" spans="1:17" ht="12.75" customHeight="1">
      <c r="A551" s="491"/>
      <c r="B551" s="1012"/>
      <c r="C551" s="981"/>
      <c r="D551" s="982"/>
      <c r="E551" s="983"/>
      <c r="F551" s="993"/>
      <c r="G551" s="994"/>
      <c r="H551" s="994"/>
      <c r="I551" s="995"/>
      <c r="J551" s="863" t="s">
        <v>144</v>
      </c>
      <c r="K551" s="975" t="s">
        <v>145</v>
      </c>
      <c r="L551" s="976"/>
      <c r="M551" s="496" t="s">
        <v>140</v>
      </c>
      <c r="N551" s="977">
        <v>0</v>
      </c>
      <c r="O551" s="961"/>
      <c r="P551" s="499">
        <v>0</v>
      </c>
      <c r="Q551" s="499">
        <v>0</v>
      </c>
    </row>
    <row r="552" spans="1:17" ht="12.75" customHeight="1">
      <c r="A552" s="491"/>
      <c r="B552" s="1012"/>
      <c r="C552" s="981"/>
      <c r="D552" s="982"/>
      <c r="E552" s="983"/>
      <c r="F552" s="993"/>
      <c r="G552" s="994"/>
      <c r="H552" s="994"/>
      <c r="I552" s="995"/>
      <c r="J552" s="863" t="s">
        <v>182</v>
      </c>
      <c r="K552" s="975" t="s">
        <v>183</v>
      </c>
      <c r="L552" s="976"/>
      <c r="M552" s="496" t="s">
        <v>140</v>
      </c>
      <c r="N552" s="977">
        <v>0</v>
      </c>
      <c r="O552" s="961"/>
      <c r="P552" s="499">
        <v>0</v>
      </c>
      <c r="Q552" s="499">
        <v>0</v>
      </c>
    </row>
    <row r="553" spans="1:17" ht="12.75" customHeight="1">
      <c r="A553" s="491"/>
      <c r="B553" s="1012"/>
      <c r="C553" s="981"/>
      <c r="D553" s="982"/>
      <c r="E553" s="983"/>
      <c r="F553" s="990"/>
      <c r="G553" s="991"/>
      <c r="H553" s="991"/>
      <c r="I553" s="992"/>
      <c r="J553" s="867" t="s">
        <v>141</v>
      </c>
      <c r="K553" s="958" t="s">
        <v>140</v>
      </c>
      <c r="L553" s="959"/>
      <c r="M553" s="500" t="s">
        <v>140</v>
      </c>
      <c r="N553" s="960" t="s">
        <v>140</v>
      </c>
      <c r="O553" s="961"/>
      <c r="P553" s="498" t="s">
        <v>140</v>
      </c>
      <c r="Q553" s="498" t="s">
        <v>140</v>
      </c>
    </row>
    <row r="554" spans="1:17" ht="12.75" customHeight="1">
      <c r="A554" s="491"/>
      <c r="B554" s="1012"/>
      <c r="C554" s="981"/>
      <c r="D554" s="982"/>
      <c r="E554" s="983"/>
      <c r="F554" s="987" t="s">
        <v>320</v>
      </c>
      <c r="G554" s="988"/>
      <c r="H554" s="988"/>
      <c r="I554" s="989"/>
      <c r="J554" s="863" t="s">
        <v>231</v>
      </c>
      <c r="K554" s="975" t="s">
        <v>232</v>
      </c>
      <c r="L554" s="976"/>
      <c r="M554" s="496" t="s">
        <v>140</v>
      </c>
      <c r="N554" s="977">
        <v>93.97</v>
      </c>
      <c r="O554" s="961"/>
      <c r="P554" s="499">
        <v>93.97</v>
      </c>
      <c r="Q554" s="499">
        <v>173.25</v>
      </c>
    </row>
    <row r="555" spans="1:17" ht="12.75" customHeight="1">
      <c r="A555" s="491"/>
      <c r="B555" s="1012"/>
      <c r="C555" s="981"/>
      <c r="D555" s="982"/>
      <c r="E555" s="983"/>
      <c r="F555" s="993"/>
      <c r="G555" s="994"/>
      <c r="H555" s="994"/>
      <c r="I555" s="995"/>
      <c r="J555" s="863" t="s">
        <v>158</v>
      </c>
      <c r="K555" s="975" t="s">
        <v>159</v>
      </c>
      <c r="L555" s="976"/>
      <c r="M555" s="496" t="s">
        <v>140</v>
      </c>
      <c r="N555" s="977">
        <v>94.49</v>
      </c>
      <c r="O555" s="961"/>
      <c r="P555" s="499">
        <v>94.49</v>
      </c>
      <c r="Q555" s="499">
        <v>173.25</v>
      </c>
    </row>
    <row r="556" spans="1:17" ht="12.75" customHeight="1">
      <c r="A556" s="491"/>
      <c r="B556" s="1012"/>
      <c r="C556" s="981"/>
      <c r="D556" s="982"/>
      <c r="E556" s="983"/>
      <c r="F556" s="990"/>
      <c r="G556" s="991"/>
      <c r="H556" s="991"/>
      <c r="I556" s="992"/>
      <c r="J556" s="867" t="s">
        <v>141</v>
      </c>
      <c r="K556" s="958" t="s">
        <v>140</v>
      </c>
      <c r="L556" s="959"/>
      <c r="M556" s="500" t="s">
        <v>140</v>
      </c>
      <c r="N556" s="960" t="s">
        <v>140</v>
      </c>
      <c r="O556" s="961"/>
      <c r="P556" s="498" t="s">
        <v>140</v>
      </c>
      <c r="Q556" s="498" t="s">
        <v>140</v>
      </c>
    </row>
    <row r="557" spans="1:17" ht="12.75" customHeight="1">
      <c r="A557" s="491"/>
      <c r="B557" s="1012"/>
      <c r="C557" s="981"/>
      <c r="D557" s="982"/>
      <c r="E557" s="983"/>
      <c r="F557" s="987" t="s">
        <v>224</v>
      </c>
      <c r="G557" s="988"/>
      <c r="H557" s="988"/>
      <c r="I557" s="989"/>
      <c r="J557" s="863" t="s">
        <v>321</v>
      </c>
      <c r="K557" s="975" t="s">
        <v>322</v>
      </c>
      <c r="L557" s="976"/>
      <c r="M557" s="497">
        <v>67991.5</v>
      </c>
      <c r="N557" s="977">
        <v>28.2</v>
      </c>
      <c r="O557" s="961"/>
      <c r="P557" s="499">
        <v>28.2</v>
      </c>
      <c r="Q557" s="499">
        <v>28.2</v>
      </c>
    </row>
    <row r="558" spans="1:17" ht="12.75" customHeight="1">
      <c r="A558" s="491"/>
      <c r="B558" s="1012"/>
      <c r="C558" s="981"/>
      <c r="D558" s="982"/>
      <c r="E558" s="983"/>
      <c r="F558" s="993"/>
      <c r="G558" s="994"/>
      <c r="H558" s="994"/>
      <c r="I558" s="995"/>
      <c r="J558" s="863" t="s">
        <v>225</v>
      </c>
      <c r="K558" s="975" t="s">
        <v>226</v>
      </c>
      <c r="L558" s="976"/>
      <c r="M558" s="497">
        <v>522452.5</v>
      </c>
      <c r="N558" s="977">
        <v>131.9</v>
      </c>
      <c r="O558" s="961"/>
      <c r="P558" s="499">
        <v>131.9</v>
      </c>
      <c r="Q558" s="499">
        <v>131.9</v>
      </c>
    </row>
    <row r="559" spans="1:17" ht="12.75" customHeight="1">
      <c r="A559" s="491"/>
      <c r="B559" s="1012"/>
      <c r="C559" s="981"/>
      <c r="D559" s="982"/>
      <c r="E559" s="983"/>
      <c r="F559" s="993"/>
      <c r="G559" s="994"/>
      <c r="H559" s="994"/>
      <c r="I559" s="995"/>
      <c r="J559" s="863" t="s">
        <v>323</v>
      </c>
      <c r="K559" s="975" t="s">
        <v>324</v>
      </c>
      <c r="L559" s="976"/>
      <c r="M559" s="497">
        <v>67991.5</v>
      </c>
      <c r="N559" s="977">
        <v>28.2</v>
      </c>
      <c r="O559" s="961"/>
      <c r="P559" s="499">
        <v>28.2</v>
      </c>
      <c r="Q559" s="499">
        <v>28.2</v>
      </c>
    </row>
    <row r="560" spans="1:17" ht="12.75" customHeight="1">
      <c r="A560" s="491"/>
      <c r="B560" s="1012"/>
      <c r="C560" s="981"/>
      <c r="D560" s="982"/>
      <c r="E560" s="983"/>
      <c r="F560" s="993"/>
      <c r="G560" s="994"/>
      <c r="H560" s="994"/>
      <c r="I560" s="995"/>
      <c r="J560" s="863" t="s">
        <v>227</v>
      </c>
      <c r="K560" s="975" t="s">
        <v>228</v>
      </c>
      <c r="L560" s="976"/>
      <c r="M560" s="497">
        <v>3063332.59</v>
      </c>
      <c r="N560" s="977">
        <v>0</v>
      </c>
      <c r="O560" s="961"/>
      <c r="P560" s="499">
        <v>0</v>
      </c>
      <c r="Q560" s="498" t="s">
        <v>140</v>
      </c>
    </row>
    <row r="561" spans="1:17" ht="12.75" customHeight="1">
      <c r="A561" s="491"/>
      <c r="B561" s="1012"/>
      <c r="C561" s="981"/>
      <c r="D561" s="982"/>
      <c r="E561" s="983"/>
      <c r="F561" s="990"/>
      <c r="G561" s="991"/>
      <c r="H561" s="991"/>
      <c r="I561" s="992"/>
      <c r="J561" s="867" t="s">
        <v>141</v>
      </c>
      <c r="K561" s="958" t="s">
        <v>140</v>
      </c>
      <c r="L561" s="959"/>
      <c r="M561" s="501">
        <v>3721768.09</v>
      </c>
      <c r="N561" s="960" t="s">
        <v>140</v>
      </c>
      <c r="O561" s="961"/>
      <c r="P561" s="498" t="s">
        <v>140</v>
      </c>
      <c r="Q561" s="498" t="s">
        <v>140</v>
      </c>
    </row>
    <row r="562" spans="1:17" ht="12.75" customHeight="1">
      <c r="A562" s="491"/>
      <c r="B562" s="1012"/>
      <c r="C562" s="981"/>
      <c r="D562" s="982"/>
      <c r="E562" s="983"/>
      <c r="F562" s="987" t="s">
        <v>229</v>
      </c>
      <c r="G562" s="988"/>
      <c r="H562" s="988"/>
      <c r="I562" s="989"/>
      <c r="J562" s="863" t="s">
        <v>192</v>
      </c>
      <c r="K562" s="975" t="s">
        <v>193</v>
      </c>
      <c r="L562" s="976"/>
      <c r="M562" s="496" t="s">
        <v>140</v>
      </c>
      <c r="N562" s="977">
        <v>7.9</v>
      </c>
      <c r="O562" s="961"/>
      <c r="P562" s="499">
        <v>7.9</v>
      </c>
      <c r="Q562" s="499">
        <v>14.95</v>
      </c>
    </row>
    <row r="563" spans="1:17" ht="12.75" customHeight="1">
      <c r="A563" s="491"/>
      <c r="B563" s="1012"/>
      <c r="C563" s="981"/>
      <c r="D563" s="982"/>
      <c r="E563" s="983"/>
      <c r="F563" s="993"/>
      <c r="G563" s="994"/>
      <c r="H563" s="994"/>
      <c r="I563" s="995"/>
      <c r="J563" s="863" t="s">
        <v>194</v>
      </c>
      <c r="K563" s="975" t="s">
        <v>195</v>
      </c>
      <c r="L563" s="976"/>
      <c r="M563" s="496" t="s">
        <v>140</v>
      </c>
      <c r="N563" s="977">
        <v>7.9</v>
      </c>
      <c r="O563" s="961"/>
      <c r="P563" s="499">
        <v>7.9</v>
      </c>
      <c r="Q563" s="499">
        <v>14.95</v>
      </c>
    </row>
    <row r="564" spans="1:17" ht="12.75" customHeight="1">
      <c r="A564" s="491"/>
      <c r="B564" s="1012"/>
      <c r="C564" s="981"/>
      <c r="D564" s="982"/>
      <c r="E564" s="983"/>
      <c r="F564" s="990"/>
      <c r="G564" s="991"/>
      <c r="H564" s="991"/>
      <c r="I564" s="992"/>
      <c r="J564" s="867" t="s">
        <v>141</v>
      </c>
      <c r="K564" s="958" t="s">
        <v>140</v>
      </c>
      <c r="L564" s="959"/>
      <c r="M564" s="500" t="s">
        <v>140</v>
      </c>
      <c r="N564" s="960" t="s">
        <v>140</v>
      </c>
      <c r="O564" s="961"/>
      <c r="P564" s="498" t="s">
        <v>140</v>
      </c>
      <c r="Q564" s="498" t="s">
        <v>140</v>
      </c>
    </row>
    <row r="565" spans="1:17" ht="12.75" customHeight="1">
      <c r="A565" s="491"/>
      <c r="B565" s="1012"/>
      <c r="C565" s="981"/>
      <c r="D565" s="982"/>
      <c r="E565" s="983"/>
      <c r="F565" s="987" t="s">
        <v>233</v>
      </c>
      <c r="G565" s="988"/>
      <c r="H565" s="988"/>
      <c r="I565" s="989"/>
      <c r="J565" s="863" t="s">
        <v>172</v>
      </c>
      <c r="K565" s="975" t="s">
        <v>173</v>
      </c>
      <c r="L565" s="976"/>
      <c r="M565" s="496" t="s">
        <v>140</v>
      </c>
      <c r="N565" s="977">
        <v>47.25</v>
      </c>
      <c r="O565" s="961"/>
      <c r="P565" s="499">
        <v>47.25</v>
      </c>
      <c r="Q565" s="499">
        <v>90</v>
      </c>
    </row>
    <row r="566" spans="1:17" ht="12.75" customHeight="1">
      <c r="A566" s="491"/>
      <c r="B566" s="1012"/>
      <c r="C566" s="981"/>
      <c r="D566" s="982"/>
      <c r="E566" s="983"/>
      <c r="F566" s="993"/>
      <c r="G566" s="994"/>
      <c r="H566" s="994"/>
      <c r="I566" s="995"/>
      <c r="J566" s="863" t="s">
        <v>174</v>
      </c>
      <c r="K566" s="975" t="s">
        <v>175</v>
      </c>
      <c r="L566" s="976"/>
      <c r="M566" s="496" t="s">
        <v>140</v>
      </c>
      <c r="N566" s="977">
        <v>54.49</v>
      </c>
      <c r="O566" s="961"/>
      <c r="P566" s="499">
        <v>54.49</v>
      </c>
      <c r="Q566" s="499">
        <v>90</v>
      </c>
    </row>
    <row r="567" spans="1:17" ht="12.75" customHeight="1">
      <c r="A567" s="491"/>
      <c r="B567" s="1012"/>
      <c r="C567" s="981"/>
      <c r="D567" s="982"/>
      <c r="E567" s="983"/>
      <c r="F567" s="993"/>
      <c r="G567" s="994"/>
      <c r="H567" s="994"/>
      <c r="I567" s="995"/>
      <c r="J567" s="863" t="s">
        <v>213</v>
      </c>
      <c r="K567" s="975" t="s">
        <v>214</v>
      </c>
      <c r="L567" s="976"/>
      <c r="M567" s="496" t="s">
        <v>140</v>
      </c>
      <c r="N567" s="977">
        <v>0</v>
      </c>
      <c r="O567" s="961"/>
      <c r="P567" s="499">
        <v>0</v>
      </c>
      <c r="Q567" s="498" t="s">
        <v>140</v>
      </c>
    </row>
    <row r="568" spans="1:17" ht="12.75" customHeight="1">
      <c r="A568" s="491"/>
      <c r="B568" s="1012"/>
      <c r="C568" s="981"/>
      <c r="D568" s="982"/>
      <c r="E568" s="983"/>
      <c r="F568" s="993"/>
      <c r="G568" s="994"/>
      <c r="H568" s="994"/>
      <c r="I568" s="995"/>
      <c r="J568" s="863" t="s">
        <v>215</v>
      </c>
      <c r="K568" s="975" t="s">
        <v>216</v>
      </c>
      <c r="L568" s="976"/>
      <c r="M568" s="496" t="s">
        <v>140</v>
      </c>
      <c r="N568" s="977">
        <v>0</v>
      </c>
      <c r="O568" s="961"/>
      <c r="P568" s="499">
        <v>0</v>
      </c>
      <c r="Q568" s="498" t="s">
        <v>140</v>
      </c>
    </row>
    <row r="569" spans="1:17" ht="12.75" customHeight="1">
      <c r="A569" s="491"/>
      <c r="B569" s="1012"/>
      <c r="C569" s="981"/>
      <c r="D569" s="982"/>
      <c r="E569" s="983"/>
      <c r="F569" s="993"/>
      <c r="G569" s="994"/>
      <c r="H569" s="994"/>
      <c r="I569" s="995"/>
      <c r="J569" s="863" t="s">
        <v>144</v>
      </c>
      <c r="K569" s="975" t="s">
        <v>145</v>
      </c>
      <c r="L569" s="976"/>
      <c r="M569" s="496" t="s">
        <v>140</v>
      </c>
      <c r="N569" s="977">
        <v>0</v>
      </c>
      <c r="O569" s="961"/>
      <c r="P569" s="499">
        <v>0</v>
      </c>
      <c r="Q569" s="498" t="s">
        <v>140</v>
      </c>
    </row>
    <row r="570" spans="1:17" ht="12.75" customHeight="1">
      <c r="A570" s="491"/>
      <c r="B570" s="1012"/>
      <c r="C570" s="981"/>
      <c r="D570" s="982"/>
      <c r="E570" s="983"/>
      <c r="F570" s="993"/>
      <c r="G570" s="994"/>
      <c r="H570" s="994"/>
      <c r="I570" s="995"/>
      <c r="J570" s="863" t="s">
        <v>146</v>
      </c>
      <c r="K570" s="975" t="s">
        <v>147</v>
      </c>
      <c r="L570" s="976"/>
      <c r="M570" s="496" t="s">
        <v>140</v>
      </c>
      <c r="N570" s="977">
        <v>96.59</v>
      </c>
      <c r="O570" s="961"/>
      <c r="P570" s="499">
        <v>96.59</v>
      </c>
      <c r="Q570" s="499">
        <v>150</v>
      </c>
    </row>
    <row r="571" spans="1:17" ht="12.75" customHeight="1">
      <c r="A571" s="491"/>
      <c r="B571" s="1012"/>
      <c r="C571" s="981"/>
      <c r="D571" s="982"/>
      <c r="E571" s="983"/>
      <c r="F571" s="993"/>
      <c r="G571" s="994"/>
      <c r="H571" s="994"/>
      <c r="I571" s="995"/>
      <c r="J571" s="863" t="s">
        <v>148</v>
      </c>
      <c r="K571" s="975" t="s">
        <v>149</v>
      </c>
      <c r="L571" s="976"/>
      <c r="M571" s="496" t="s">
        <v>140</v>
      </c>
      <c r="N571" s="977">
        <v>74.28</v>
      </c>
      <c r="O571" s="961"/>
      <c r="P571" s="499">
        <v>74.28</v>
      </c>
      <c r="Q571" s="499">
        <v>150</v>
      </c>
    </row>
    <row r="572" spans="1:17" ht="12.75" customHeight="1">
      <c r="A572" s="491"/>
      <c r="B572" s="1012"/>
      <c r="C572" s="981"/>
      <c r="D572" s="982"/>
      <c r="E572" s="983"/>
      <c r="F572" s="990"/>
      <c r="G572" s="991"/>
      <c r="H572" s="991"/>
      <c r="I572" s="992"/>
      <c r="J572" s="867" t="s">
        <v>141</v>
      </c>
      <c r="K572" s="958" t="s">
        <v>140</v>
      </c>
      <c r="L572" s="959"/>
      <c r="M572" s="500" t="s">
        <v>140</v>
      </c>
      <c r="N572" s="960" t="s">
        <v>140</v>
      </c>
      <c r="O572" s="961"/>
      <c r="P572" s="498" t="s">
        <v>140</v>
      </c>
      <c r="Q572" s="498" t="s">
        <v>140</v>
      </c>
    </row>
    <row r="573" spans="1:17" ht="12.75" customHeight="1">
      <c r="A573" s="491"/>
      <c r="B573" s="1012"/>
      <c r="C573" s="981"/>
      <c r="D573" s="982"/>
      <c r="E573" s="983"/>
      <c r="F573" s="987" t="s">
        <v>234</v>
      </c>
      <c r="G573" s="988"/>
      <c r="H573" s="988"/>
      <c r="I573" s="989"/>
      <c r="J573" s="863" t="s">
        <v>172</v>
      </c>
      <c r="K573" s="975" t="s">
        <v>173</v>
      </c>
      <c r="L573" s="976"/>
      <c r="M573" s="496" t="s">
        <v>140</v>
      </c>
      <c r="N573" s="977">
        <v>40</v>
      </c>
      <c r="O573" s="961"/>
      <c r="P573" s="499">
        <v>40</v>
      </c>
      <c r="Q573" s="499">
        <v>45</v>
      </c>
    </row>
    <row r="574" spans="1:17" ht="12.75" customHeight="1">
      <c r="A574" s="491"/>
      <c r="B574" s="1012"/>
      <c r="C574" s="981"/>
      <c r="D574" s="982"/>
      <c r="E574" s="983"/>
      <c r="F574" s="993"/>
      <c r="G574" s="994"/>
      <c r="H574" s="994"/>
      <c r="I574" s="995"/>
      <c r="J574" s="863" t="s">
        <v>162</v>
      </c>
      <c r="K574" s="975" t="s">
        <v>163</v>
      </c>
      <c r="L574" s="976"/>
      <c r="M574" s="496" t="s">
        <v>140</v>
      </c>
      <c r="N574" s="977">
        <v>23.4</v>
      </c>
      <c r="O574" s="961"/>
      <c r="P574" s="499">
        <v>23.4</v>
      </c>
      <c r="Q574" s="499">
        <v>26</v>
      </c>
    </row>
    <row r="575" spans="1:17" ht="12.75" customHeight="1">
      <c r="A575" s="491"/>
      <c r="B575" s="1012"/>
      <c r="C575" s="981"/>
      <c r="D575" s="982"/>
      <c r="E575" s="983"/>
      <c r="F575" s="993"/>
      <c r="G575" s="994"/>
      <c r="H575" s="994"/>
      <c r="I575" s="995"/>
      <c r="J575" s="863" t="s">
        <v>174</v>
      </c>
      <c r="K575" s="975" t="s">
        <v>175</v>
      </c>
      <c r="L575" s="976"/>
      <c r="M575" s="496" t="s">
        <v>140</v>
      </c>
      <c r="N575" s="977">
        <v>42.5</v>
      </c>
      <c r="O575" s="961"/>
      <c r="P575" s="499">
        <v>42.5</v>
      </c>
      <c r="Q575" s="499">
        <v>47</v>
      </c>
    </row>
    <row r="576" spans="1:17" ht="12.75" customHeight="1">
      <c r="A576" s="491"/>
      <c r="B576" s="1012"/>
      <c r="C576" s="981"/>
      <c r="D576" s="982"/>
      <c r="E576" s="983"/>
      <c r="F576" s="993"/>
      <c r="G576" s="994"/>
      <c r="H576" s="994"/>
      <c r="I576" s="995"/>
      <c r="J576" s="863" t="s">
        <v>164</v>
      </c>
      <c r="K576" s="975" t="s">
        <v>165</v>
      </c>
      <c r="L576" s="976"/>
      <c r="M576" s="496" t="s">
        <v>140</v>
      </c>
      <c r="N576" s="977">
        <v>24.3</v>
      </c>
      <c r="O576" s="961"/>
      <c r="P576" s="499">
        <v>24.3</v>
      </c>
      <c r="Q576" s="499">
        <v>27</v>
      </c>
    </row>
    <row r="577" spans="1:17" ht="12.75" customHeight="1">
      <c r="A577" s="491"/>
      <c r="B577" s="1012"/>
      <c r="C577" s="981"/>
      <c r="D577" s="982"/>
      <c r="E577" s="983"/>
      <c r="F577" s="993"/>
      <c r="G577" s="994"/>
      <c r="H577" s="994"/>
      <c r="I577" s="995"/>
      <c r="J577" s="863" t="s">
        <v>215</v>
      </c>
      <c r="K577" s="975" t="s">
        <v>216</v>
      </c>
      <c r="L577" s="976"/>
      <c r="M577" s="496" t="s">
        <v>140</v>
      </c>
      <c r="N577" s="977">
        <v>0</v>
      </c>
      <c r="O577" s="961"/>
      <c r="P577" s="499">
        <v>0</v>
      </c>
      <c r="Q577" s="499">
        <v>0</v>
      </c>
    </row>
    <row r="578" spans="1:17" ht="12.75" customHeight="1">
      <c r="A578" s="491"/>
      <c r="B578" s="1012"/>
      <c r="C578" s="981"/>
      <c r="D578" s="982"/>
      <c r="E578" s="983"/>
      <c r="F578" s="990"/>
      <c r="G578" s="991"/>
      <c r="H578" s="991"/>
      <c r="I578" s="992"/>
      <c r="J578" s="867" t="s">
        <v>141</v>
      </c>
      <c r="K578" s="958" t="s">
        <v>140</v>
      </c>
      <c r="L578" s="959"/>
      <c r="M578" s="500" t="s">
        <v>140</v>
      </c>
      <c r="N578" s="960" t="s">
        <v>140</v>
      </c>
      <c r="O578" s="961"/>
      <c r="P578" s="498" t="s">
        <v>140</v>
      </c>
      <c r="Q578" s="498" t="s">
        <v>140</v>
      </c>
    </row>
    <row r="579" spans="1:17" ht="12.75" customHeight="1">
      <c r="A579" s="491"/>
      <c r="B579" s="1012"/>
      <c r="C579" s="981"/>
      <c r="D579" s="982"/>
      <c r="E579" s="983"/>
      <c r="F579" s="987" t="s">
        <v>235</v>
      </c>
      <c r="G579" s="988"/>
      <c r="H579" s="988"/>
      <c r="I579" s="989"/>
      <c r="J579" s="863" t="s">
        <v>213</v>
      </c>
      <c r="K579" s="975" t="s">
        <v>214</v>
      </c>
      <c r="L579" s="976"/>
      <c r="M579" s="496" t="s">
        <v>140</v>
      </c>
      <c r="N579" s="977">
        <v>0</v>
      </c>
      <c r="O579" s="961"/>
      <c r="P579" s="499">
        <v>0</v>
      </c>
      <c r="Q579" s="498" t="s">
        <v>140</v>
      </c>
    </row>
    <row r="580" spans="1:17" ht="12.75" customHeight="1">
      <c r="A580" s="491"/>
      <c r="B580" s="1012"/>
      <c r="C580" s="981"/>
      <c r="D580" s="982"/>
      <c r="E580" s="983"/>
      <c r="F580" s="993"/>
      <c r="G580" s="994"/>
      <c r="H580" s="994"/>
      <c r="I580" s="995"/>
      <c r="J580" s="863" t="s">
        <v>215</v>
      </c>
      <c r="K580" s="975" t="s">
        <v>216</v>
      </c>
      <c r="L580" s="976"/>
      <c r="M580" s="496" t="s">
        <v>140</v>
      </c>
      <c r="N580" s="977">
        <v>0</v>
      </c>
      <c r="O580" s="961"/>
      <c r="P580" s="499">
        <v>0</v>
      </c>
      <c r="Q580" s="498" t="s">
        <v>140</v>
      </c>
    </row>
    <row r="581" spans="1:17" ht="12.75" customHeight="1">
      <c r="A581" s="491"/>
      <c r="B581" s="1012"/>
      <c r="C581" s="981"/>
      <c r="D581" s="982"/>
      <c r="E581" s="983"/>
      <c r="F581" s="993"/>
      <c r="G581" s="994"/>
      <c r="H581" s="994"/>
      <c r="I581" s="995"/>
      <c r="J581" s="863" t="s">
        <v>144</v>
      </c>
      <c r="K581" s="975" t="s">
        <v>145</v>
      </c>
      <c r="L581" s="976"/>
      <c r="M581" s="496" t="s">
        <v>140</v>
      </c>
      <c r="N581" s="977">
        <v>0</v>
      </c>
      <c r="O581" s="961"/>
      <c r="P581" s="499">
        <v>0</v>
      </c>
      <c r="Q581" s="498" t="s">
        <v>140</v>
      </c>
    </row>
    <row r="582" spans="1:17" ht="12.75" customHeight="1">
      <c r="A582" s="491"/>
      <c r="B582" s="1012"/>
      <c r="C582" s="981"/>
      <c r="D582" s="982"/>
      <c r="E582" s="983"/>
      <c r="F582" s="990"/>
      <c r="G582" s="991"/>
      <c r="H582" s="991"/>
      <c r="I582" s="992"/>
      <c r="J582" s="867" t="s">
        <v>141</v>
      </c>
      <c r="K582" s="958" t="s">
        <v>140</v>
      </c>
      <c r="L582" s="959"/>
      <c r="M582" s="500" t="s">
        <v>140</v>
      </c>
      <c r="N582" s="960" t="s">
        <v>140</v>
      </c>
      <c r="O582" s="961"/>
      <c r="P582" s="498" t="s">
        <v>140</v>
      </c>
      <c r="Q582" s="498" t="s">
        <v>140</v>
      </c>
    </row>
    <row r="583" spans="1:17" ht="12.75" customHeight="1">
      <c r="A583" s="491"/>
      <c r="B583" s="1012"/>
      <c r="C583" s="981"/>
      <c r="D583" s="982"/>
      <c r="E583" s="983"/>
      <c r="F583" s="987" t="s">
        <v>236</v>
      </c>
      <c r="G583" s="988"/>
      <c r="H583" s="988"/>
      <c r="I583" s="989"/>
      <c r="J583" s="863" t="s">
        <v>231</v>
      </c>
      <c r="K583" s="975" t="s">
        <v>232</v>
      </c>
      <c r="L583" s="976"/>
      <c r="M583" s="496" t="s">
        <v>140</v>
      </c>
      <c r="N583" s="977">
        <v>93.97</v>
      </c>
      <c r="O583" s="961"/>
      <c r="P583" s="499">
        <v>93.97</v>
      </c>
      <c r="Q583" s="499">
        <v>103.37</v>
      </c>
    </row>
    <row r="584" spans="1:17" ht="12.75" customHeight="1">
      <c r="A584" s="491"/>
      <c r="B584" s="1012"/>
      <c r="C584" s="981"/>
      <c r="D584" s="982"/>
      <c r="E584" s="983"/>
      <c r="F584" s="993"/>
      <c r="G584" s="994"/>
      <c r="H584" s="994"/>
      <c r="I584" s="995"/>
      <c r="J584" s="863" t="s">
        <v>158</v>
      </c>
      <c r="K584" s="975" t="s">
        <v>159</v>
      </c>
      <c r="L584" s="976"/>
      <c r="M584" s="496" t="s">
        <v>140</v>
      </c>
      <c r="N584" s="977">
        <v>94.5</v>
      </c>
      <c r="O584" s="961"/>
      <c r="P584" s="499">
        <v>94.5</v>
      </c>
      <c r="Q584" s="499">
        <v>103.95</v>
      </c>
    </row>
    <row r="585" spans="1:17" ht="12.75" customHeight="1">
      <c r="A585" s="491"/>
      <c r="B585" s="1012"/>
      <c r="C585" s="981"/>
      <c r="D585" s="982"/>
      <c r="E585" s="983"/>
      <c r="F585" s="990"/>
      <c r="G585" s="991"/>
      <c r="H585" s="991"/>
      <c r="I585" s="992"/>
      <c r="J585" s="867" t="s">
        <v>141</v>
      </c>
      <c r="K585" s="958" t="s">
        <v>140</v>
      </c>
      <c r="L585" s="959"/>
      <c r="M585" s="500" t="s">
        <v>140</v>
      </c>
      <c r="N585" s="960" t="s">
        <v>140</v>
      </c>
      <c r="O585" s="961"/>
      <c r="P585" s="498" t="s">
        <v>140</v>
      </c>
      <c r="Q585" s="498" t="s">
        <v>140</v>
      </c>
    </row>
    <row r="586" spans="1:17" ht="12.75" customHeight="1">
      <c r="A586" s="491"/>
      <c r="B586" s="1012"/>
      <c r="C586" s="981"/>
      <c r="D586" s="982"/>
      <c r="E586" s="983"/>
      <c r="F586" s="987" t="s">
        <v>237</v>
      </c>
      <c r="G586" s="988"/>
      <c r="H586" s="988"/>
      <c r="I586" s="989"/>
      <c r="J586" s="863" t="s">
        <v>162</v>
      </c>
      <c r="K586" s="975" t="s">
        <v>163</v>
      </c>
      <c r="L586" s="976"/>
      <c r="M586" s="496" t="s">
        <v>140</v>
      </c>
      <c r="N586" s="977">
        <v>27.3</v>
      </c>
      <c r="O586" s="961"/>
      <c r="P586" s="499">
        <v>27.3</v>
      </c>
      <c r="Q586" s="499">
        <v>37</v>
      </c>
    </row>
    <row r="587" spans="1:17" ht="12.75" customHeight="1">
      <c r="A587" s="491"/>
      <c r="B587" s="1012"/>
      <c r="C587" s="981"/>
      <c r="D587" s="982"/>
      <c r="E587" s="983"/>
      <c r="F587" s="993"/>
      <c r="G587" s="994"/>
      <c r="H587" s="994"/>
      <c r="I587" s="995"/>
      <c r="J587" s="863" t="s">
        <v>164</v>
      </c>
      <c r="K587" s="975" t="s">
        <v>165</v>
      </c>
      <c r="L587" s="976"/>
      <c r="M587" s="496" t="s">
        <v>140</v>
      </c>
      <c r="N587" s="977">
        <v>27.3</v>
      </c>
      <c r="O587" s="961"/>
      <c r="P587" s="499">
        <v>27.3</v>
      </c>
      <c r="Q587" s="499">
        <v>37</v>
      </c>
    </row>
    <row r="588" spans="1:17" ht="12.75" customHeight="1">
      <c r="A588" s="491"/>
      <c r="B588" s="1012"/>
      <c r="C588" s="981"/>
      <c r="D588" s="982"/>
      <c r="E588" s="983"/>
      <c r="F588" s="993"/>
      <c r="G588" s="994"/>
      <c r="H588" s="994"/>
      <c r="I588" s="995"/>
      <c r="J588" s="863" t="s">
        <v>166</v>
      </c>
      <c r="K588" s="975" t="s">
        <v>167</v>
      </c>
      <c r="L588" s="976"/>
      <c r="M588" s="496" t="s">
        <v>140</v>
      </c>
      <c r="N588" s="977">
        <v>29.92</v>
      </c>
      <c r="O588" s="961"/>
      <c r="P588" s="499">
        <v>29.92</v>
      </c>
      <c r="Q588" s="499">
        <v>39</v>
      </c>
    </row>
    <row r="589" spans="1:17" ht="12.75" customHeight="1">
      <c r="A589" s="491"/>
      <c r="B589" s="1012"/>
      <c r="C589" s="981"/>
      <c r="D589" s="982"/>
      <c r="E589" s="983"/>
      <c r="F589" s="993"/>
      <c r="G589" s="994"/>
      <c r="H589" s="994"/>
      <c r="I589" s="995"/>
      <c r="J589" s="863" t="s">
        <v>168</v>
      </c>
      <c r="K589" s="975" t="s">
        <v>169</v>
      </c>
      <c r="L589" s="976"/>
      <c r="M589" s="496" t="s">
        <v>140</v>
      </c>
      <c r="N589" s="977">
        <v>29.92</v>
      </c>
      <c r="O589" s="961"/>
      <c r="P589" s="499">
        <v>29.92</v>
      </c>
      <c r="Q589" s="499">
        <v>39</v>
      </c>
    </row>
    <row r="590" spans="1:17" ht="12.75" customHeight="1">
      <c r="A590" s="491"/>
      <c r="B590" s="1012"/>
      <c r="C590" s="981"/>
      <c r="D590" s="982"/>
      <c r="E590" s="983"/>
      <c r="F590" s="990"/>
      <c r="G590" s="991"/>
      <c r="H590" s="991"/>
      <c r="I590" s="992"/>
      <c r="J590" s="867" t="s">
        <v>141</v>
      </c>
      <c r="K590" s="958" t="s">
        <v>140</v>
      </c>
      <c r="L590" s="959"/>
      <c r="M590" s="500" t="s">
        <v>140</v>
      </c>
      <c r="N590" s="960" t="s">
        <v>140</v>
      </c>
      <c r="O590" s="961"/>
      <c r="P590" s="498" t="s">
        <v>140</v>
      </c>
      <c r="Q590" s="498" t="s">
        <v>140</v>
      </c>
    </row>
    <row r="591" spans="1:17" ht="12.75" customHeight="1">
      <c r="A591" s="491"/>
      <c r="B591" s="1012"/>
      <c r="C591" s="981"/>
      <c r="D591" s="982"/>
      <c r="E591" s="983"/>
      <c r="F591" s="987" t="s">
        <v>238</v>
      </c>
      <c r="G591" s="988"/>
      <c r="H591" s="988"/>
      <c r="I591" s="989"/>
      <c r="J591" s="863" t="s">
        <v>162</v>
      </c>
      <c r="K591" s="975" t="s">
        <v>163</v>
      </c>
      <c r="L591" s="976"/>
      <c r="M591" s="496" t="s">
        <v>140</v>
      </c>
      <c r="N591" s="977">
        <v>27.3</v>
      </c>
      <c r="O591" s="961"/>
      <c r="P591" s="499">
        <v>27.3</v>
      </c>
      <c r="Q591" s="499">
        <v>33</v>
      </c>
    </row>
    <row r="592" spans="1:17" ht="12.75" customHeight="1">
      <c r="A592" s="491"/>
      <c r="B592" s="1012"/>
      <c r="C592" s="981"/>
      <c r="D592" s="982"/>
      <c r="E592" s="983"/>
      <c r="F592" s="993"/>
      <c r="G592" s="994"/>
      <c r="H592" s="994"/>
      <c r="I592" s="995"/>
      <c r="J592" s="863" t="s">
        <v>164</v>
      </c>
      <c r="K592" s="975" t="s">
        <v>165</v>
      </c>
      <c r="L592" s="976"/>
      <c r="M592" s="496" t="s">
        <v>140</v>
      </c>
      <c r="N592" s="977">
        <v>27.3</v>
      </c>
      <c r="O592" s="961"/>
      <c r="P592" s="499">
        <v>27.3</v>
      </c>
      <c r="Q592" s="499">
        <v>33</v>
      </c>
    </row>
    <row r="593" spans="1:17" ht="12.75" customHeight="1">
      <c r="A593" s="491"/>
      <c r="B593" s="1012"/>
      <c r="C593" s="981"/>
      <c r="D593" s="982"/>
      <c r="E593" s="983"/>
      <c r="F593" s="993"/>
      <c r="G593" s="994"/>
      <c r="H593" s="994"/>
      <c r="I593" s="995"/>
      <c r="J593" s="863" t="s">
        <v>166</v>
      </c>
      <c r="K593" s="975" t="s">
        <v>167</v>
      </c>
      <c r="L593" s="976"/>
      <c r="M593" s="496" t="s">
        <v>140</v>
      </c>
      <c r="N593" s="977">
        <v>29.7</v>
      </c>
      <c r="O593" s="961"/>
      <c r="P593" s="499">
        <v>29.7</v>
      </c>
      <c r="Q593" s="499">
        <v>33</v>
      </c>
    </row>
    <row r="594" spans="1:17" ht="12.75" customHeight="1">
      <c r="A594" s="491"/>
      <c r="B594" s="1012"/>
      <c r="C594" s="981"/>
      <c r="D594" s="982"/>
      <c r="E594" s="983"/>
      <c r="F594" s="993"/>
      <c r="G594" s="994"/>
      <c r="H594" s="994"/>
      <c r="I594" s="995"/>
      <c r="J594" s="863" t="s">
        <v>168</v>
      </c>
      <c r="K594" s="975" t="s">
        <v>169</v>
      </c>
      <c r="L594" s="976"/>
      <c r="M594" s="496" t="s">
        <v>140</v>
      </c>
      <c r="N594" s="977">
        <v>29.7</v>
      </c>
      <c r="O594" s="961"/>
      <c r="P594" s="499">
        <v>29.7</v>
      </c>
      <c r="Q594" s="499">
        <v>33</v>
      </c>
    </row>
    <row r="595" spans="1:17" ht="12.75" customHeight="1">
      <c r="A595" s="491"/>
      <c r="B595" s="1012"/>
      <c r="C595" s="981"/>
      <c r="D595" s="982"/>
      <c r="E595" s="983"/>
      <c r="F595" s="990"/>
      <c r="G595" s="991"/>
      <c r="H595" s="991"/>
      <c r="I595" s="992"/>
      <c r="J595" s="867" t="s">
        <v>141</v>
      </c>
      <c r="K595" s="958" t="s">
        <v>140</v>
      </c>
      <c r="L595" s="959"/>
      <c r="M595" s="500" t="s">
        <v>140</v>
      </c>
      <c r="N595" s="960" t="s">
        <v>140</v>
      </c>
      <c r="O595" s="961"/>
      <c r="P595" s="498" t="s">
        <v>140</v>
      </c>
      <c r="Q595" s="498" t="s">
        <v>140</v>
      </c>
    </row>
    <row r="596" spans="1:17" ht="12.75" customHeight="1">
      <c r="A596" s="491"/>
      <c r="B596" s="1012"/>
      <c r="C596" s="981"/>
      <c r="D596" s="982"/>
      <c r="E596" s="983"/>
      <c r="F596" s="987" t="s">
        <v>239</v>
      </c>
      <c r="G596" s="988"/>
      <c r="H596" s="988"/>
      <c r="I596" s="989"/>
      <c r="J596" s="863" t="s">
        <v>162</v>
      </c>
      <c r="K596" s="975" t="s">
        <v>163</v>
      </c>
      <c r="L596" s="976"/>
      <c r="M596" s="496" t="s">
        <v>140</v>
      </c>
      <c r="N596" s="977">
        <v>27.3</v>
      </c>
      <c r="O596" s="961"/>
      <c r="P596" s="499">
        <v>27.3</v>
      </c>
      <c r="Q596" s="499">
        <v>31.11</v>
      </c>
    </row>
    <row r="597" spans="1:17" ht="12.75" customHeight="1">
      <c r="A597" s="491"/>
      <c r="B597" s="1012"/>
      <c r="C597" s="981"/>
      <c r="D597" s="982"/>
      <c r="E597" s="983"/>
      <c r="F597" s="993"/>
      <c r="G597" s="994"/>
      <c r="H597" s="994"/>
      <c r="I597" s="995"/>
      <c r="J597" s="863" t="s">
        <v>164</v>
      </c>
      <c r="K597" s="975" t="s">
        <v>165</v>
      </c>
      <c r="L597" s="976"/>
      <c r="M597" s="496" t="s">
        <v>140</v>
      </c>
      <c r="N597" s="977">
        <v>27.3</v>
      </c>
      <c r="O597" s="961"/>
      <c r="P597" s="499">
        <v>27.3</v>
      </c>
      <c r="Q597" s="499">
        <v>31.11</v>
      </c>
    </row>
    <row r="598" spans="1:17" ht="12.75" customHeight="1">
      <c r="A598" s="491"/>
      <c r="B598" s="1012"/>
      <c r="C598" s="981"/>
      <c r="D598" s="982"/>
      <c r="E598" s="983"/>
      <c r="F598" s="993"/>
      <c r="G598" s="994"/>
      <c r="H598" s="994"/>
      <c r="I598" s="995"/>
      <c r="J598" s="863" t="s">
        <v>166</v>
      </c>
      <c r="K598" s="975" t="s">
        <v>167</v>
      </c>
      <c r="L598" s="976"/>
      <c r="M598" s="496" t="s">
        <v>140</v>
      </c>
      <c r="N598" s="977">
        <v>28</v>
      </c>
      <c r="O598" s="961"/>
      <c r="P598" s="499">
        <v>28</v>
      </c>
      <c r="Q598" s="499">
        <v>31.11</v>
      </c>
    </row>
    <row r="599" spans="1:17" ht="12.75" customHeight="1">
      <c r="A599" s="491"/>
      <c r="B599" s="1012"/>
      <c r="C599" s="981"/>
      <c r="D599" s="982"/>
      <c r="E599" s="983"/>
      <c r="F599" s="993"/>
      <c r="G599" s="994"/>
      <c r="H599" s="994"/>
      <c r="I599" s="995"/>
      <c r="J599" s="863" t="s">
        <v>168</v>
      </c>
      <c r="K599" s="975" t="s">
        <v>169</v>
      </c>
      <c r="L599" s="976"/>
      <c r="M599" s="496" t="s">
        <v>140</v>
      </c>
      <c r="N599" s="977">
        <v>28</v>
      </c>
      <c r="O599" s="961"/>
      <c r="P599" s="499">
        <v>28</v>
      </c>
      <c r="Q599" s="499">
        <v>31.11</v>
      </c>
    </row>
    <row r="600" spans="1:17" ht="12.75" customHeight="1">
      <c r="A600" s="491"/>
      <c r="B600" s="1012"/>
      <c r="C600" s="981"/>
      <c r="D600" s="982"/>
      <c r="E600" s="983"/>
      <c r="F600" s="990"/>
      <c r="G600" s="991"/>
      <c r="H600" s="991"/>
      <c r="I600" s="992"/>
      <c r="J600" s="867" t="s">
        <v>141</v>
      </c>
      <c r="K600" s="958" t="s">
        <v>140</v>
      </c>
      <c r="L600" s="959"/>
      <c r="M600" s="500" t="s">
        <v>140</v>
      </c>
      <c r="N600" s="960" t="s">
        <v>140</v>
      </c>
      <c r="O600" s="961"/>
      <c r="P600" s="498" t="s">
        <v>140</v>
      </c>
      <c r="Q600" s="498" t="s">
        <v>140</v>
      </c>
    </row>
    <row r="601" spans="1:17" ht="12.75" customHeight="1">
      <c r="A601" s="491"/>
      <c r="B601" s="1012"/>
      <c r="C601" s="981"/>
      <c r="D601" s="982"/>
      <c r="E601" s="983"/>
      <c r="F601" s="987" t="s">
        <v>240</v>
      </c>
      <c r="G601" s="988"/>
      <c r="H601" s="988"/>
      <c r="I601" s="989"/>
      <c r="J601" s="863" t="s">
        <v>162</v>
      </c>
      <c r="K601" s="975" t="s">
        <v>163</v>
      </c>
      <c r="L601" s="976"/>
      <c r="M601" s="496" t="s">
        <v>140</v>
      </c>
      <c r="N601" s="977">
        <v>25.65</v>
      </c>
      <c r="O601" s="961"/>
      <c r="P601" s="499">
        <v>25.65</v>
      </c>
      <c r="Q601" s="499">
        <v>28.5</v>
      </c>
    </row>
    <row r="602" spans="1:17" ht="12.75" customHeight="1">
      <c r="A602" s="491"/>
      <c r="B602" s="1012"/>
      <c r="C602" s="981"/>
      <c r="D602" s="982"/>
      <c r="E602" s="983"/>
      <c r="F602" s="993"/>
      <c r="G602" s="994"/>
      <c r="H602" s="994"/>
      <c r="I602" s="995"/>
      <c r="J602" s="863" t="s">
        <v>164</v>
      </c>
      <c r="K602" s="975" t="s">
        <v>165</v>
      </c>
      <c r="L602" s="976"/>
      <c r="M602" s="496" t="s">
        <v>140</v>
      </c>
      <c r="N602" s="977">
        <v>25.65</v>
      </c>
      <c r="O602" s="961"/>
      <c r="P602" s="499">
        <v>25.65</v>
      </c>
      <c r="Q602" s="499">
        <v>28.5</v>
      </c>
    </row>
    <row r="603" spans="1:17" ht="12.75" customHeight="1">
      <c r="A603" s="491"/>
      <c r="B603" s="1012"/>
      <c r="C603" s="981"/>
      <c r="D603" s="982"/>
      <c r="E603" s="983"/>
      <c r="F603" s="993"/>
      <c r="G603" s="994"/>
      <c r="H603" s="994"/>
      <c r="I603" s="995"/>
      <c r="J603" s="863" t="s">
        <v>178</v>
      </c>
      <c r="K603" s="975" t="s">
        <v>179</v>
      </c>
      <c r="L603" s="976"/>
      <c r="M603" s="496" t="s">
        <v>140</v>
      </c>
      <c r="N603" s="977">
        <v>56.7</v>
      </c>
      <c r="O603" s="961"/>
      <c r="P603" s="499">
        <v>56.7</v>
      </c>
      <c r="Q603" s="499">
        <v>75</v>
      </c>
    </row>
    <row r="604" spans="1:17" ht="12.75" customHeight="1">
      <c r="A604" s="491"/>
      <c r="B604" s="1012"/>
      <c r="C604" s="981"/>
      <c r="D604" s="982"/>
      <c r="E604" s="983"/>
      <c r="F604" s="993"/>
      <c r="G604" s="994"/>
      <c r="H604" s="994"/>
      <c r="I604" s="995"/>
      <c r="J604" s="863" t="s">
        <v>166</v>
      </c>
      <c r="K604" s="975" t="s">
        <v>167</v>
      </c>
      <c r="L604" s="976"/>
      <c r="M604" s="496" t="s">
        <v>140</v>
      </c>
      <c r="N604" s="977">
        <v>27.58</v>
      </c>
      <c r="O604" s="961"/>
      <c r="P604" s="499">
        <v>27.58</v>
      </c>
      <c r="Q604" s="499">
        <v>30.7</v>
      </c>
    </row>
    <row r="605" spans="1:17" ht="12.75" customHeight="1">
      <c r="A605" s="491"/>
      <c r="B605" s="1012"/>
      <c r="C605" s="981"/>
      <c r="D605" s="982"/>
      <c r="E605" s="983"/>
      <c r="F605" s="993"/>
      <c r="G605" s="994"/>
      <c r="H605" s="994"/>
      <c r="I605" s="995"/>
      <c r="J605" s="863" t="s">
        <v>168</v>
      </c>
      <c r="K605" s="975" t="s">
        <v>169</v>
      </c>
      <c r="L605" s="976"/>
      <c r="M605" s="496" t="s">
        <v>140</v>
      </c>
      <c r="N605" s="977">
        <v>27.58</v>
      </c>
      <c r="O605" s="961"/>
      <c r="P605" s="499">
        <v>27.58</v>
      </c>
      <c r="Q605" s="499">
        <v>31</v>
      </c>
    </row>
    <row r="606" spans="1:17" ht="12.75" customHeight="1">
      <c r="A606" s="491"/>
      <c r="B606" s="1012"/>
      <c r="C606" s="981"/>
      <c r="D606" s="982"/>
      <c r="E606" s="983"/>
      <c r="F606" s="990"/>
      <c r="G606" s="991"/>
      <c r="H606" s="991"/>
      <c r="I606" s="992"/>
      <c r="J606" s="867" t="s">
        <v>141</v>
      </c>
      <c r="K606" s="958" t="s">
        <v>140</v>
      </c>
      <c r="L606" s="959"/>
      <c r="M606" s="500" t="s">
        <v>140</v>
      </c>
      <c r="N606" s="960" t="s">
        <v>140</v>
      </c>
      <c r="O606" s="961"/>
      <c r="P606" s="498" t="s">
        <v>140</v>
      </c>
      <c r="Q606" s="498" t="s">
        <v>140</v>
      </c>
    </row>
    <row r="607" spans="1:17" ht="12.75" customHeight="1">
      <c r="A607" s="491"/>
      <c r="B607" s="1012"/>
      <c r="C607" s="981"/>
      <c r="D607" s="982"/>
      <c r="E607" s="983"/>
      <c r="F607" s="987" t="s">
        <v>241</v>
      </c>
      <c r="G607" s="988"/>
      <c r="H607" s="988"/>
      <c r="I607" s="989"/>
      <c r="J607" s="863" t="s">
        <v>162</v>
      </c>
      <c r="K607" s="975" t="s">
        <v>163</v>
      </c>
      <c r="L607" s="976"/>
      <c r="M607" s="496" t="s">
        <v>140</v>
      </c>
      <c r="N607" s="977">
        <v>27</v>
      </c>
      <c r="O607" s="961"/>
      <c r="P607" s="499">
        <v>27</v>
      </c>
      <c r="Q607" s="499">
        <v>30</v>
      </c>
    </row>
    <row r="608" spans="1:17" ht="12.75" customHeight="1">
      <c r="A608" s="491"/>
      <c r="B608" s="1012"/>
      <c r="C608" s="981"/>
      <c r="D608" s="982"/>
      <c r="E608" s="983"/>
      <c r="F608" s="993"/>
      <c r="G608" s="994"/>
      <c r="H608" s="994"/>
      <c r="I608" s="995"/>
      <c r="J608" s="863" t="s">
        <v>164</v>
      </c>
      <c r="K608" s="975" t="s">
        <v>165</v>
      </c>
      <c r="L608" s="976"/>
      <c r="M608" s="496" t="s">
        <v>140</v>
      </c>
      <c r="N608" s="977">
        <v>27</v>
      </c>
      <c r="O608" s="961"/>
      <c r="P608" s="499">
        <v>27</v>
      </c>
      <c r="Q608" s="499">
        <v>30</v>
      </c>
    </row>
    <row r="609" spans="1:17" ht="12.75" customHeight="1">
      <c r="A609" s="491"/>
      <c r="B609" s="1012"/>
      <c r="C609" s="981"/>
      <c r="D609" s="982"/>
      <c r="E609" s="983"/>
      <c r="F609" s="993"/>
      <c r="G609" s="994"/>
      <c r="H609" s="994"/>
      <c r="I609" s="995"/>
      <c r="J609" s="863" t="s">
        <v>166</v>
      </c>
      <c r="K609" s="975" t="s">
        <v>167</v>
      </c>
      <c r="L609" s="976"/>
      <c r="M609" s="496" t="s">
        <v>140</v>
      </c>
      <c r="N609" s="977">
        <v>29.92</v>
      </c>
      <c r="O609" s="961"/>
      <c r="P609" s="499">
        <v>29.92</v>
      </c>
      <c r="Q609" s="499">
        <v>35</v>
      </c>
    </row>
    <row r="610" spans="1:17" ht="12.75" customHeight="1">
      <c r="A610" s="491"/>
      <c r="B610" s="1012"/>
      <c r="C610" s="981"/>
      <c r="D610" s="982"/>
      <c r="E610" s="983"/>
      <c r="F610" s="993"/>
      <c r="G610" s="994"/>
      <c r="H610" s="994"/>
      <c r="I610" s="995"/>
      <c r="J610" s="863" t="s">
        <v>168</v>
      </c>
      <c r="K610" s="975" t="s">
        <v>169</v>
      </c>
      <c r="L610" s="976"/>
      <c r="M610" s="496" t="s">
        <v>140</v>
      </c>
      <c r="N610" s="977">
        <v>29.92</v>
      </c>
      <c r="O610" s="961"/>
      <c r="P610" s="499">
        <v>29.92</v>
      </c>
      <c r="Q610" s="499">
        <v>35</v>
      </c>
    </row>
    <row r="611" spans="1:17" ht="12.75" customHeight="1">
      <c r="A611" s="491"/>
      <c r="B611" s="1012"/>
      <c r="C611" s="981"/>
      <c r="D611" s="982"/>
      <c r="E611" s="983"/>
      <c r="F611" s="990"/>
      <c r="G611" s="991"/>
      <c r="H611" s="991"/>
      <c r="I611" s="992"/>
      <c r="J611" s="867" t="s">
        <v>141</v>
      </c>
      <c r="K611" s="958" t="s">
        <v>140</v>
      </c>
      <c r="L611" s="959"/>
      <c r="M611" s="500" t="s">
        <v>140</v>
      </c>
      <c r="N611" s="960" t="s">
        <v>140</v>
      </c>
      <c r="O611" s="961"/>
      <c r="P611" s="498" t="s">
        <v>140</v>
      </c>
      <c r="Q611" s="498" t="s">
        <v>140</v>
      </c>
    </row>
    <row r="612" spans="1:17" ht="12.75" customHeight="1">
      <c r="A612" s="491"/>
      <c r="B612" s="1012"/>
      <c r="C612" s="981"/>
      <c r="D612" s="982"/>
      <c r="E612" s="983"/>
      <c r="F612" s="987" t="s">
        <v>242</v>
      </c>
      <c r="G612" s="988"/>
      <c r="H612" s="988"/>
      <c r="I612" s="989"/>
      <c r="J612" s="863" t="s">
        <v>206</v>
      </c>
      <c r="K612" s="975" t="s">
        <v>207</v>
      </c>
      <c r="L612" s="976"/>
      <c r="M612" s="496" t="s">
        <v>140</v>
      </c>
      <c r="N612" s="977">
        <v>134.63999999999999</v>
      </c>
      <c r="O612" s="961"/>
      <c r="P612" s="499">
        <v>134.63999999999999</v>
      </c>
      <c r="Q612" s="499">
        <v>160</v>
      </c>
    </row>
    <row r="613" spans="1:17" ht="12.75" customHeight="1">
      <c r="A613" s="491"/>
      <c r="B613" s="1012"/>
      <c r="C613" s="981"/>
      <c r="D613" s="982"/>
      <c r="E613" s="983"/>
      <c r="F613" s="993"/>
      <c r="G613" s="994"/>
      <c r="H613" s="994"/>
      <c r="I613" s="995"/>
      <c r="J613" s="863" t="s">
        <v>208</v>
      </c>
      <c r="K613" s="975" t="s">
        <v>209</v>
      </c>
      <c r="L613" s="976"/>
      <c r="M613" s="496" t="s">
        <v>140</v>
      </c>
      <c r="N613" s="977">
        <v>16.829999999999998</v>
      </c>
      <c r="O613" s="961"/>
      <c r="P613" s="499">
        <v>16.829999999999998</v>
      </c>
      <c r="Q613" s="499">
        <v>20</v>
      </c>
    </row>
    <row r="614" spans="1:17" ht="12.75" customHeight="1">
      <c r="A614" s="491"/>
      <c r="B614" s="1012"/>
      <c r="C614" s="981"/>
      <c r="D614" s="982"/>
      <c r="E614" s="983"/>
      <c r="F614" s="990"/>
      <c r="G614" s="991"/>
      <c r="H614" s="991"/>
      <c r="I614" s="992"/>
      <c r="J614" s="867" t="s">
        <v>141</v>
      </c>
      <c r="K614" s="958" t="s">
        <v>140</v>
      </c>
      <c r="L614" s="959"/>
      <c r="M614" s="500" t="s">
        <v>140</v>
      </c>
      <c r="N614" s="960" t="s">
        <v>140</v>
      </c>
      <c r="O614" s="961"/>
      <c r="P614" s="498" t="s">
        <v>140</v>
      </c>
      <c r="Q614" s="498" t="s">
        <v>140</v>
      </c>
    </row>
    <row r="615" spans="1:17" ht="12.75" customHeight="1">
      <c r="A615" s="491"/>
      <c r="B615" s="1012"/>
      <c r="C615" s="981"/>
      <c r="D615" s="982"/>
      <c r="E615" s="983"/>
      <c r="F615" s="987" t="s">
        <v>243</v>
      </c>
      <c r="G615" s="988"/>
      <c r="H615" s="988"/>
      <c r="I615" s="989"/>
      <c r="J615" s="863" t="s">
        <v>231</v>
      </c>
      <c r="K615" s="975" t="s">
        <v>232</v>
      </c>
      <c r="L615" s="976"/>
      <c r="M615" s="496" t="s">
        <v>140</v>
      </c>
      <c r="N615" s="977">
        <v>85.33</v>
      </c>
      <c r="O615" s="961"/>
      <c r="P615" s="499">
        <v>85.33</v>
      </c>
      <c r="Q615" s="499">
        <v>95</v>
      </c>
    </row>
    <row r="616" spans="1:17" ht="12.75" customHeight="1">
      <c r="A616" s="491"/>
      <c r="B616" s="1012"/>
      <c r="C616" s="981"/>
      <c r="D616" s="982"/>
      <c r="E616" s="983"/>
      <c r="F616" s="993"/>
      <c r="G616" s="994"/>
      <c r="H616" s="994"/>
      <c r="I616" s="995"/>
      <c r="J616" s="863" t="s">
        <v>158</v>
      </c>
      <c r="K616" s="975" t="s">
        <v>159</v>
      </c>
      <c r="L616" s="976"/>
      <c r="M616" s="496" t="s">
        <v>140</v>
      </c>
      <c r="N616" s="977">
        <v>86.1</v>
      </c>
      <c r="O616" s="961"/>
      <c r="P616" s="499">
        <v>86.1</v>
      </c>
      <c r="Q616" s="499">
        <v>95</v>
      </c>
    </row>
    <row r="617" spans="1:17" ht="12.75" customHeight="1">
      <c r="A617" s="491"/>
      <c r="B617" s="1012"/>
      <c r="C617" s="981"/>
      <c r="D617" s="982"/>
      <c r="E617" s="983"/>
      <c r="F617" s="993"/>
      <c r="G617" s="994"/>
      <c r="H617" s="994"/>
      <c r="I617" s="995"/>
      <c r="J617" s="863" t="s">
        <v>258</v>
      </c>
      <c r="K617" s="975" t="s">
        <v>259</v>
      </c>
      <c r="L617" s="976"/>
      <c r="M617" s="496" t="s">
        <v>140</v>
      </c>
      <c r="N617" s="977">
        <v>62.45</v>
      </c>
      <c r="O617" s="961"/>
      <c r="P617" s="499">
        <v>62.45</v>
      </c>
      <c r="Q617" s="499">
        <v>69</v>
      </c>
    </row>
    <row r="618" spans="1:17" ht="12.75" customHeight="1">
      <c r="A618" s="491"/>
      <c r="B618" s="1012"/>
      <c r="C618" s="981"/>
      <c r="D618" s="982"/>
      <c r="E618" s="983"/>
      <c r="F618" s="990"/>
      <c r="G618" s="991"/>
      <c r="H618" s="991"/>
      <c r="I618" s="992"/>
      <c r="J618" s="867" t="s">
        <v>141</v>
      </c>
      <c r="K618" s="958" t="s">
        <v>140</v>
      </c>
      <c r="L618" s="959"/>
      <c r="M618" s="500" t="s">
        <v>140</v>
      </c>
      <c r="N618" s="960" t="s">
        <v>140</v>
      </c>
      <c r="O618" s="961"/>
      <c r="P618" s="498" t="s">
        <v>140</v>
      </c>
      <c r="Q618" s="498" t="s">
        <v>140</v>
      </c>
    </row>
    <row r="619" spans="1:17" ht="12.75" customHeight="1">
      <c r="A619" s="491"/>
      <c r="B619" s="1012"/>
      <c r="C619" s="981"/>
      <c r="D619" s="982"/>
      <c r="E619" s="983"/>
      <c r="F619" s="987" t="s">
        <v>244</v>
      </c>
      <c r="G619" s="988"/>
      <c r="H619" s="988"/>
      <c r="I619" s="989"/>
      <c r="J619" s="863" t="s">
        <v>162</v>
      </c>
      <c r="K619" s="975" t="s">
        <v>163</v>
      </c>
      <c r="L619" s="976"/>
      <c r="M619" s="496" t="s">
        <v>140</v>
      </c>
      <c r="N619" s="977">
        <v>26</v>
      </c>
      <c r="O619" s="961"/>
      <c r="P619" s="499">
        <v>26</v>
      </c>
      <c r="Q619" s="498" t="s">
        <v>140</v>
      </c>
    </row>
    <row r="620" spans="1:17" ht="12.75" customHeight="1">
      <c r="A620" s="491"/>
      <c r="B620" s="1012"/>
      <c r="C620" s="981"/>
      <c r="D620" s="982"/>
      <c r="E620" s="983"/>
      <c r="F620" s="993"/>
      <c r="G620" s="994"/>
      <c r="H620" s="994"/>
      <c r="I620" s="995"/>
      <c r="J620" s="863" t="s">
        <v>164</v>
      </c>
      <c r="K620" s="975" t="s">
        <v>165</v>
      </c>
      <c r="L620" s="976"/>
      <c r="M620" s="496" t="s">
        <v>140</v>
      </c>
      <c r="N620" s="977">
        <v>26</v>
      </c>
      <c r="O620" s="961"/>
      <c r="P620" s="499">
        <v>26</v>
      </c>
      <c r="Q620" s="498" t="s">
        <v>140</v>
      </c>
    </row>
    <row r="621" spans="1:17" ht="12.75" customHeight="1">
      <c r="A621" s="491"/>
      <c r="B621" s="1012"/>
      <c r="C621" s="981"/>
      <c r="D621" s="982"/>
      <c r="E621" s="983"/>
      <c r="F621" s="993"/>
      <c r="G621" s="994"/>
      <c r="H621" s="994"/>
      <c r="I621" s="995"/>
      <c r="J621" s="863" t="s">
        <v>178</v>
      </c>
      <c r="K621" s="975" t="s">
        <v>179</v>
      </c>
      <c r="L621" s="976"/>
      <c r="M621" s="496" t="s">
        <v>140</v>
      </c>
      <c r="N621" s="977">
        <v>62.47</v>
      </c>
      <c r="O621" s="961"/>
      <c r="P621" s="499">
        <v>62.47</v>
      </c>
      <c r="Q621" s="499">
        <v>62.47</v>
      </c>
    </row>
    <row r="622" spans="1:17" ht="12.75" customHeight="1">
      <c r="A622" s="491"/>
      <c r="B622" s="1012"/>
      <c r="C622" s="981"/>
      <c r="D622" s="982"/>
      <c r="E622" s="983"/>
      <c r="F622" s="993"/>
      <c r="G622" s="994"/>
      <c r="H622" s="994"/>
      <c r="I622" s="995"/>
      <c r="J622" s="863" t="s">
        <v>166</v>
      </c>
      <c r="K622" s="975" t="s">
        <v>167</v>
      </c>
      <c r="L622" s="976"/>
      <c r="M622" s="496" t="s">
        <v>140</v>
      </c>
      <c r="N622" s="977">
        <v>27</v>
      </c>
      <c r="O622" s="961"/>
      <c r="P622" s="499">
        <v>27</v>
      </c>
      <c r="Q622" s="498" t="s">
        <v>140</v>
      </c>
    </row>
    <row r="623" spans="1:17" ht="12.75" customHeight="1">
      <c r="A623" s="491"/>
      <c r="B623" s="1012"/>
      <c r="C623" s="981"/>
      <c r="D623" s="982"/>
      <c r="E623" s="983"/>
      <c r="F623" s="993"/>
      <c r="G623" s="994"/>
      <c r="H623" s="994"/>
      <c r="I623" s="995"/>
      <c r="J623" s="863" t="s">
        <v>168</v>
      </c>
      <c r="K623" s="975" t="s">
        <v>169</v>
      </c>
      <c r="L623" s="976"/>
      <c r="M623" s="496" t="s">
        <v>140</v>
      </c>
      <c r="N623" s="977">
        <v>27</v>
      </c>
      <c r="O623" s="961"/>
      <c r="P623" s="499">
        <v>27</v>
      </c>
      <c r="Q623" s="499">
        <v>27</v>
      </c>
    </row>
    <row r="624" spans="1:17" ht="12.75" customHeight="1">
      <c r="A624" s="491"/>
      <c r="B624" s="1012"/>
      <c r="C624" s="981"/>
      <c r="D624" s="982"/>
      <c r="E624" s="983"/>
      <c r="F624" s="990"/>
      <c r="G624" s="991"/>
      <c r="H624" s="991"/>
      <c r="I624" s="992"/>
      <c r="J624" s="867" t="s">
        <v>141</v>
      </c>
      <c r="K624" s="958" t="s">
        <v>140</v>
      </c>
      <c r="L624" s="959"/>
      <c r="M624" s="500" t="s">
        <v>140</v>
      </c>
      <c r="N624" s="960" t="s">
        <v>140</v>
      </c>
      <c r="O624" s="961"/>
      <c r="P624" s="498" t="s">
        <v>140</v>
      </c>
      <c r="Q624" s="498" t="s">
        <v>140</v>
      </c>
    </row>
    <row r="625" spans="1:17" ht="12.75" customHeight="1">
      <c r="A625" s="491"/>
      <c r="B625" s="1012"/>
      <c r="C625" s="981"/>
      <c r="D625" s="982"/>
      <c r="E625" s="983"/>
      <c r="F625" s="987" t="s">
        <v>245</v>
      </c>
      <c r="G625" s="988"/>
      <c r="H625" s="988"/>
      <c r="I625" s="989"/>
      <c r="J625" s="863" t="s">
        <v>162</v>
      </c>
      <c r="K625" s="975" t="s">
        <v>163</v>
      </c>
      <c r="L625" s="976"/>
      <c r="M625" s="496" t="s">
        <v>140</v>
      </c>
      <c r="N625" s="977">
        <v>27.3</v>
      </c>
      <c r="O625" s="961"/>
      <c r="P625" s="499">
        <v>27.3</v>
      </c>
      <c r="Q625" s="499">
        <v>27.3</v>
      </c>
    </row>
    <row r="626" spans="1:17" ht="12.75" customHeight="1">
      <c r="A626" s="491"/>
      <c r="B626" s="1012"/>
      <c r="C626" s="981"/>
      <c r="D626" s="982"/>
      <c r="E626" s="983"/>
      <c r="F626" s="993"/>
      <c r="G626" s="994"/>
      <c r="H626" s="994"/>
      <c r="I626" s="995"/>
      <c r="J626" s="863" t="s">
        <v>164</v>
      </c>
      <c r="K626" s="975" t="s">
        <v>165</v>
      </c>
      <c r="L626" s="976"/>
      <c r="M626" s="496" t="s">
        <v>140</v>
      </c>
      <c r="N626" s="977">
        <v>27.3</v>
      </c>
      <c r="O626" s="961"/>
      <c r="P626" s="499">
        <v>27.3</v>
      </c>
      <c r="Q626" s="499">
        <v>27.3</v>
      </c>
    </row>
    <row r="627" spans="1:17" ht="12.75" customHeight="1">
      <c r="A627" s="491"/>
      <c r="B627" s="1012"/>
      <c r="C627" s="981"/>
      <c r="D627" s="982"/>
      <c r="E627" s="983"/>
      <c r="F627" s="993"/>
      <c r="G627" s="994"/>
      <c r="H627" s="994"/>
      <c r="I627" s="995"/>
      <c r="J627" s="863" t="s">
        <v>166</v>
      </c>
      <c r="K627" s="975" t="s">
        <v>167</v>
      </c>
      <c r="L627" s="976"/>
      <c r="M627" s="496" t="s">
        <v>140</v>
      </c>
      <c r="N627" s="977">
        <v>29.92</v>
      </c>
      <c r="O627" s="961"/>
      <c r="P627" s="499">
        <v>29.92</v>
      </c>
      <c r="Q627" s="499">
        <v>29.92</v>
      </c>
    </row>
    <row r="628" spans="1:17" ht="12.75" customHeight="1">
      <c r="A628" s="491"/>
      <c r="B628" s="1012"/>
      <c r="C628" s="981"/>
      <c r="D628" s="982"/>
      <c r="E628" s="983"/>
      <c r="F628" s="993"/>
      <c r="G628" s="994"/>
      <c r="H628" s="994"/>
      <c r="I628" s="995"/>
      <c r="J628" s="863" t="s">
        <v>168</v>
      </c>
      <c r="K628" s="975" t="s">
        <v>169</v>
      </c>
      <c r="L628" s="976"/>
      <c r="M628" s="496" t="s">
        <v>140</v>
      </c>
      <c r="N628" s="977">
        <v>29.92</v>
      </c>
      <c r="O628" s="961"/>
      <c r="P628" s="499">
        <v>29.92</v>
      </c>
      <c r="Q628" s="499">
        <v>29.92</v>
      </c>
    </row>
    <row r="629" spans="1:17" ht="12.75" customHeight="1">
      <c r="A629" s="491"/>
      <c r="B629" s="1012"/>
      <c r="C629" s="981"/>
      <c r="D629" s="982"/>
      <c r="E629" s="983"/>
      <c r="F629" s="990"/>
      <c r="G629" s="991"/>
      <c r="H629" s="991"/>
      <c r="I629" s="992"/>
      <c r="J629" s="867" t="s">
        <v>141</v>
      </c>
      <c r="K629" s="958" t="s">
        <v>140</v>
      </c>
      <c r="L629" s="959"/>
      <c r="M629" s="500" t="s">
        <v>140</v>
      </c>
      <c r="N629" s="960" t="s">
        <v>140</v>
      </c>
      <c r="O629" s="961"/>
      <c r="P629" s="498" t="s">
        <v>140</v>
      </c>
      <c r="Q629" s="498" t="s">
        <v>140</v>
      </c>
    </row>
    <row r="630" spans="1:17" ht="12.75" customHeight="1">
      <c r="A630" s="491"/>
      <c r="B630" s="1012"/>
      <c r="C630" s="981"/>
      <c r="D630" s="982"/>
      <c r="E630" s="983"/>
      <c r="F630" s="987" t="s">
        <v>246</v>
      </c>
      <c r="G630" s="988"/>
      <c r="H630" s="988"/>
      <c r="I630" s="989"/>
      <c r="J630" s="863" t="s">
        <v>213</v>
      </c>
      <c r="K630" s="975" t="s">
        <v>214</v>
      </c>
      <c r="L630" s="976"/>
      <c r="M630" s="496" t="s">
        <v>140</v>
      </c>
      <c r="N630" s="977">
        <v>0</v>
      </c>
      <c r="O630" s="961"/>
      <c r="P630" s="499">
        <v>0</v>
      </c>
      <c r="Q630" s="498" t="s">
        <v>140</v>
      </c>
    </row>
    <row r="631" spans="1:17" ht="12.75" customHeight="1">
      <c r="A631" s="491"/>
      <c r="B631" s="1012"/>
      <c r="C631" s="981"/>
      <c r="D631" s="982"/>
      <c r="E631" s="983"/>
      <c r="F631" s="993"/>
      <c r="G631" s="994"/>
      <c r="H631" s="994"/>
      <c r="I631" s="995"/>
      <c r="J631" s="863" t="s">
        <v>215</v>
      </c>
      <c r="K631" s="975" t="s">
        <v>216</v>
      </c>
      <c r="L631" s="976"/>
      <c r="M631" s="496" t="s">
        <v>140</v>
      </c>
      <c r="N631" s="977">
        <v>0</v>
      </c>
      <c r="O631" s="961"/>
      <c r="P631" s="499">
        <v>0</v>
      </c>
      <c r="Q631" s="498" t="s">
        <v>140</v>
      </c>
    </row>
    <row r="632" spans="1:17" ht="12.75" customHeight="1">
      <c r="A632" s="491"/>
      <c r="B632" s="1012"/>
      <c r="C632" s="981"/>
      <c r="D632" s="982"/>
      <c r="E632" s="983"/>
      <c r="F632" s="993"/>
      <c r="G632" s="994"/>
      <c r="H632" s="994"/>
      <c r="I632" s="995"/>
      <c r="J632" s="863" t="s">
        <v>144</v>
      </c>
      <c r="K632" s="975" t="s">
        <v>145</v>
      </c>
      <c r="L632" s="976"/>
      <c r="M632" s="496" t="s">
        <v>140</v>
      </c>
      <c r="N632" s="977">
        <v>0</v>
      </c>
      <c r="O632" s="961"/>
      <c r="P632" s="499">
        <v>0</v>
      </c>
      <c r="Q632" s="498" t="s">
        <v>140</v>
      </c>
    </row>
    <row r="633" spans="1:17" ht="12.75" customHeight="1">
      <c r="A633" s="491"/>
      <c r="B633" s="1012"/>
      <c r="C633" s="981"/>
      <c r="D633" s="982"/>
      <c r="E633" s="983"/>
      <c r="F633" s="990"/>
      <c r="G633" s="991"/>
      <c r="H633" s="991"/>
      <c r="I633" s="992"/>
      <c r="J633" s="867" t="s">
        <v>141</v>
      </c>
      <c r="K633" s="958" t="s">
        <v>140</v>
      </c>
      <c r="L633" s="959"/>
      <c r="M633" s="500" t="s">
        <v>140</v>
      </c>
      <c r="N633" s="960" t="s">
        <v>140</v>
      </c>
      <c r="O633" s="961"/>
      <c r="P633" s="498" t="s">
        <v>140</v>
      </c>
      <c r="Q633" s="498" t="s">
        <v>140</v>
      </c>
    </row>
    <row r="634" spans="1:17" ht="12.75" customHeight="1">
      <c r="A634" s="491"/>
      <c r="B634" s="1012"/>
      <c r="C634" s="984"/>
      <c r="D634" s="985"/>
      <c r="E634" s="986"/>
      <c r="F634" s="962" t="s">
        <v>140</v>
      </c>
      <c r="G634" s="958"/>
      <c r="H634" s="958"/>
      <c r="I634" s="959"/>
      <c r="J634" s="867" t="s">
        <v>247</v>
      </c>
      <c r="K634" s="958" t="s">
        <v>140</v>
      </c>
      <c r="L634" s="959"/>
      <c r="M634" s="501">
        <v>4742667.8499999996</v>
      </c>
      <c r="N634" s="960" t="s">
        <v>140</v>
      </c>
      <c r="O634" s="961"/>
      <c r="P634" s="498" t="s">
        <v>140</v>
      </c>
      <c r="Q634" s="498" t="s">
        <v>140</v>
      </c>
    </row>
    <row r="635" spans="1:17" ht="12.75" customHeight="1">
      <c r="A635" s="491"/>
      <c r="B635" s="1012"/>
      <c r="C635" s="978" t="s">
        <v>248</v>
      </c>
      <c r="D635" s="979"/>
      <c r="E635" s="980"/>
      <c r="F635" s="987" t="s">
        <v>325</v>
      </c>
      <c r="G635" s="988"/>
      <c r="H635" s="988"/>
      <c r="I635" s="989"/>
      <c r="J635" s="863" t="s">
        <v>172</v>
      </c>
      <c r="K635" s="975" t="s">
        <v>173</v>
      </c>
      <c r="L635" s="976"/>
      <c r="M635" s="496" t="s">
        <v>140</v>
      </c>
      <c r="N635" s="977">
        <v>40</v>
      </c>
      <c r="O635" s="961"/>
      <c r="P635" s="499">
        <v>40</v>
      </c>
      <c r="Q635" s="499">
        <v>44</v>
      </c>
    </row>
    <row r="636" spans="1:17" ht="12.75" customHeight="1">
      <c r="A636" s="491"/>
      <c r="B636" s="1012"/>
      <c r="C636" s="981"/>
      <c r="D636" s="982"/>
      <c r="E636" s="983"/>
      <c r="F636" s="993"/>
      <c r="G636" s="994"/>
      <c r="H636" s="994"/>
      <c r="I636" s="995"/>
      <c r="J636" s="863" t="s">
        <v>162</v>
      </c>
      <c r="K636" s="975" t="s">
        <v>163</v>
      </c>
      <c r="L636" s="976"/>
      <c r="M636" s="496" t="s">
        <v>140</v>
      </c>
      <c r="N636" s="977">
        <v>27.3</v>
      </c>
      <c r="O636" s="961"/>
      <c r="P636" s="499">
        <v>27.3</v>
      </c>
      <c r="Q636" s="499">
        <v>30.03</v>
      </c>
    </row>
    <row r="637" spans="1:17" ht="12.75" customHeight="1">
      <c r="A637" s="491"/>
      <c r="B637" s="1012"/>
      <c r="C637" s="981"/>
      <c r="D637" s="982"/>
      <c r="E637" s="983"/>
      <c r="F637" s="993"/>
      <c r="G637" s="994"/>
      <c r="H637" s="994"/>
      <c r="I637" s="995"/>
      <c r="J637" s="863" t="s">
        <v>231</v>
      </c>
      <c r="K637" s="975" t="s">
        <v>232</v>
      </c>
      <c r="L637" s="976"/>
      <c r="M637" s="496" t="s">
        <v>140</v>
      </c>
      <c r="N637" s="977">
        <v>93.97</v>
      </c>
      <c r="O637" s="961"/>
      <c r="P637" s="499">
        <v>93.97</v>
      </c>
      <c r="Q637" s="499">
        <v>103.37</v>
      </c>
    </row>
    <row r="638" spans="1:17" ht="12.75" customHeight="1">
      <c r="A638" s="491"/>
      <c r="B638" s="1012"/>
      <c r="C638" s="981"/>
      <c r="D638" s="982"/>
      <c r="E638" s="983"/>
      <c r="F638" s="993"/>
      <c r="G638" s="994"/>
      <c r="H638" s="994"/>
      <c r="I638" s="995"/>
      <c r="J638" s="863" t="s">
        <v>164</v>
      </c>
      <c r="K638" s="975" t="s">
        <v>165</v>
      </c>
      <c r="L638" s="976"/>
      <c r="M638" s="496" t="s">
        <v>140</v>
      </c>
      <c r="N638" s="977">
        <v>27.3</v>
      </c>
      <c r="O638" s="961"/>
      <c r="P638" s="499">
        <v>27.3</v>
      </c>
      <c r="Q638" s="499">
        <v>30.03</v>
      </c>
    </row>
    <row r="639" spans="1:17" ht="12.75" customHeight="1">
      <c r="A639" s="491"/>
      <c r="B639" s="1012"/>
      <c r="C639" s="981"/>
      <c r="D639" s="982"/>
      <c r="E639" s="983"/>
      <c r="F639" s="993"/>
      <c r="G639" s="994"/>
      <c r="H639" s="994"/>
      <c r="I639" s="995"/>
      <c r="J639" s="863" t="s">
        <v>158</v>
      </c>
      <c r="K639" s="975" t="s">
        <v>159</v>
      </c>
      <c r="L639" s="976"/>
      <c r="M639" s="496" t="s">
        <v>140</v>
      </c>
      <c r="N639" s="977">
        <v>94.5</v>
      </c>
      <c r="O639" s="961"/>
      <c r="P639" s="499">
        <v>94.5</v>
      </c>
      <c r="Q639" s="499">
        <v>103.95</v>
      </c>
    </row>
    <row r="640" spans="1:17" ht="12.75" customHeight="1">
      <c r="A640" s="491"/>
      <c r="B640" s="1012"/>
      <c r="C640" s="981"/>
      <c r="D640" s="982"/>
      <c r="E640" s="983"/>
      <c r="F640" s="993"/>
      <c r="G640" s="994"/>
      <c r="H640" s="994"/>
      <c r="I640" s="995"/>
      <c r="J640" s="863" t="s">
        <v>254</v>
      </c>
      <c r="K640" s="975" t="s">
        <v>255</v>
      </c>
      <c r="L640" s="976"/>
      <c r="M640" s="496" t="s">
        <v>140</v>
      </c>
      <c r="N640" s="977">
        <v>26.61</v>
      </c>
      <c r="O640" s="961"/>
      <c r="P640" s="499">
        <v>26.61</v>
      </c>
      <c r="Q640" s="499">
        <v>29.27</v>
      </c>
    </row>
    <row r="641" spans="1:17" ht="12.75" customHeight="1">
      <c r="A641" s="491"/>
      <c r="B641" s="1012"/>
      <c r="C641" s="981"/>
      <c r="D641" s="982"/>
      <c r="E641" s="983"/>
      <c r="F641" s="990"/>
      <c r="G641" s="991"/>
      <c r="H641" s="991"/>
      <c r="I641" s="992"/>
      <c r="J641" s="867" t="s">
        <v>141</v>
      </c>
      <c r="K641" s="958" t="s">
        <v>140</v>
      </c>
      <c r="L641" s="959"/>
      <c r="M641" s="500" t="s">
        <v>140</v>
      </c>
      <c r="N641" s="960" t="s">
        <v>140</v>
      </c>
      <c r="O641" s="961"/>
      <c r="P641" s="498" t="s">
        <v>140</v>
      </c>
      <c r="Q641" s="498" t="s">
        <v>140</v>
      </c>
    </row>
    <row r="642" spans="1:17" ht="12.75" customHeight="1">
      <c r="A642" s="491"/>
      <c r="B642" s="1012"/>
      <c r="C642" s="981"/>
      <c r="D642" s="982"/>
      <c r="E642" s="983"/>
      <c r="F642" s="987" t="s">
        <v>326</v>
      </c>
      <c r="G642" s="988"/>
      <c r="H642" s="988"/>
      <c r="I642" s="989"/>
      <c r="J642" s="863" t="s">
        <v>162</v>
      </c>
      <c r="K642" s="975" t="s">
        <v>163</v>
      </c>
      <c r="L642" s="976"/>
      <c r="M642" s="496" t="s">
        <v>140</v>
      </c>
      <c r="N642" s="977">
        <v>27.3</v>
      </c>
      <c r="O642" s="961"/>
      <c r="P642" s="499">
        <v>27.3</v>
      </c>
      <c r="Q642" s="499">
        <v>36</v>
      </c>
    </row>
    <row r="643" spans="1:17" ht="12.75" customHeight="1">
      <c r="A643" s="491"/>
      <c r="B643" s="1012"/>
      <c r="C643" s="981"/>
      <c r="D643" s="982"/>
      <c r="E643" s="983"/>
      <c r="F643" s="993"/>
      <c r="G643" s="994"/>
      <c r="H643" s="994"/>
      <c r="I643" s="995"/>
      <c r="J643" s="863" t="s">
        <v>164</v>
      </c>
      <c r="K643" s="975" t="s">
        <v>165</v>
      </c>
      <c r="L643" s="976"/>
      <c r="M643" s="496" t="s">
        <v>140</v>
      </c>
      <c r="N643" s="977">
        <v>27.3</v>
      </c>
      <c r="O643" s="961"/>
      <c r="P643" s="499">
        <v>27.3</v>
      </c>
      <c r="Q643" s="499">
        <v>36</v>
      </c>
    </row>
    <row r="644" spans="1:17" ht="12.75" customHeight="1">
      <c r="A644" s="491"/>
      <c r="B644" s="1012"/>
      <c r="C644" s="981"/>
      <c r="D644" s="982"/>
      <c r="E644" s="983"/>
      <c r="F644" s="993"/>
      <c r="G644" s="994"/>
      <c r="H644" s="994"/>
      <c r="I644" s="995"/>
      <c r="J644" s="863" t="s">
        <v>178</v>
      </c>
      <c r="K644" s="975" t="s">
        <v>179</v>
      </c>
      <c r="L644" s="976"/>
      <c r="M644" s="496" t="s">
        <v>140</v>
      </c>
      <c r="N644" s="977">
        <v>60</v>
      </c>
      <c r="O644" s="961"/>
      <c r="P644" s="499">
        <v>60</v>
      </c>
      <c r="Q644" s="499">
        <v>85</v>
      </c>
    </row>
    <row r="645" spans="1:17" ht="12.75" customHeight="1">
      <c r="A645" s="491"/>
      <c r="B645" s="1012"/>
      <c r="C645" s="981"/>
      <c r="D645" s="982"/>
      <c r="E645" s="983"/>
      <c r="F645" s="993"/>
      <c r="G645" s="994"/>
      <c r="H645" s="994"/>
      <c r="I645" s="995"/>
      <c r="J645" s="863" t="s">
        <v>166</v>
      </c>
      <c r="K645" s="975" t="s">
        <v>167</v>
      </c>
      <c r="L645" s="976"/>
      <c r="M645" s="496" t="s">
        <v>140</v>
      </c>
      <c r="N645" s="977">
        <v>29.92</v>
      </c>
      <c r="O645" s="961"/>
      <c r="P645" s="499">
        <v>29.92</v>
      </c>
      <c r="Q645" s="499">
        <v>36</v>
      </c>
    </row>
    <row r="646" spans="1:17" ht="12.75" customHeight="1">
      <c r="A646" s="491"/>
      <c r="B646" s="1012"/>
      <c r="C646" s="981"/>
      <c r="D646" s="982"/>
      <c r="E646" s="983"/>
      <c r="F646" s="993"/>
      <c r="G646" s="994"/>
      <c r="H646" s="994"/>
      <c r="I646" s="995"/>
      <c r="J646" s="863" t="s">
        <v>168</v>
      </c>
      <c r="K646" s="975" t="s">
        <v>169</v>
      </c>
      <c r="L646" s="976"/>
      <c r="M646" s="496" t="s">
        <v>140</v>
      </c>
      <c r="N646" s="977">
        <v>29.92</v>
      </c>
      <c r="O646" s="961"/>
      <c r="P646" s="499">
        <v>29.92</v>
      </c>
      <c r="Q646" s="499">
        <v>36</v>
      </c>
    </row>
    <row r="647" spans="1:17" ht="12.75" customHeight="1">
      <c r="A647" s="491"/>
      <c r="B647" s="1012"/>
      <c r="C647" s="981"/>
      <c r="D647" s="982"/>
      <c r="E647" s="983"/>
      <c r="F647" s="990"/>
      <c r="G647" s="991"/>
      <c r="H647" s="991"/>
      <c r="I647" s="992"/>
      <c r="J647" s="867" t="s">
        <v>141</v>
      </c>
      <c r="K647" s="958" t="s">
        <v>140</v>
      </c>
      <c r="L647" s="959"/>
      <c r="M647" s="500" t="s">
        <v>140</v>
      </c>
      <c r="N647" s="960" t="s">
        <v>140</v>
      </c>
      <c r="O647" s="961"/>
      <c r="P647" s="498" t="s">
        <v>140</v>
      </c>
      <c r="Q647" s="498" t="s">
        <v>140</v>
      </c>
    </row>
    <row r="648" spans="1:17" ht="12.75" customHeight="1">
      <c r="A648" s="491"/>
      <c r="B648" s="1012"/>
      <c r="C648" s="981"/>
      <c r="D648" s="982"/>
      <c r="E648" s="983"/>
      <c r="F648" s="987" t="s">
        <v>327</v>
      </c>
      <c r="G648" s="988"/>
      <c r="H648" s="988"/>
      <c r="I648" s="989"/>
      <c r="J648" s="863" t="s">
        <v>206</v>
      </c>
      <c r="K648" s="975" t="s">
        <v>207</v>
      </c>
      <c r="L648" s="976"/>
      <c r="M648" s="496" t="s">
        <v>140</v>
      </c>
      <c r="N648" s="977">
        <v>132</v>
      </c>
      <c r="O648" s="961"/>
      <c r="P648" s="499">
        <v>132</v>
      </c>
      <c r="Q648" s="499">
        <v>183.62</v>
      </c>
    </row>
    <row r="649" spans="1:17" ht="12.75" customHeight="1">
      <c r="A649" s="491"/>
      <c r="B649" s="1012"/>
      <c r="C649" s="981"/>
      <c r="D649" s="982"/>
      <c r="E649" s="983"/>
      <c r="F649" s="993"/>
      <c r="G649" s="994"/>
      <c r="H649" s="994"/>
      <c r="I649" s="995"/>
      <c r="J649" s="863" t="s">
        <v>188</v>
      </c>
      <c r="K649" s="975" t="s">
        <v>189</v>
      </c>
      <c r="L649" s="976"/>
      <c r="M649" s="496" t="s">
        <v>140</v>
      </c>
      <c r="N649" s="977">
        <v>7.66</v>
      </c>
      <c r="O649" s="961"/>
      <c r="P649" s="499">
        <v>7.66</v>
      </c>
      <c r="Q649" s="499">
        <v>9</v>
      </c>
    </row>
    <row r="650" spans="1:17" ht="12.75" customHeight="1">
      <c r="A650" s="491"/>
      <c r="B650" s="1012"/>
      <c r="C650" s="981"/>
      <c r="D650" s="982"/>
      <c r="E650" s="983"/>
      <c r="F650" s="993"/>
      <c r="G650" s="994"/>
      <c r="H650" s="994"/>
      <c r="I650" s="995"/>
      <c r="J650" s="863" t="s">
        <v>190</v>
      </c>
      <c r="K650" s="975" t="s">
        <v>191</v>
      </c>
      <c r="L650" s="976"/>
      <c r="M650" s="496" t="s">
        <v>140</v>
      </c>
      <c r="N650" s="977">
        <v>7.66</v>
      </c>
      <c r="O650" s="961"/>
      <c r="P650" s="499">
        <v>7.66</v>
      </c>
      <c r="Q650" s="499">
        <v>9</v>
      </c>
    </row>
    <row r="651" spans="1:17" ht="12.75" customHeight="1">
      <c r="A651" s="491"/>
      <c r="B651" s="1012"/>
      <c r="C651" s="981"/>
      <c r="D651" s="982"/>
      <c r="E651" s="983"/>
      <c r="F651" s="993"/>
      <c r="G651" s="994"/>
      <c r="H651" s="994"/>
      <c r="I651" s="995"/>
      <c r="J651" s="863" t="s">
        <v>192</v>
      </c>
      <c r="K651" s="975" t="s">
        <v>193</v>
      </c>
      <c r="L651" s="976"/>
      <c r="M651" s="496" t="s">
        <v>140</v>
      </c>
      <c r="N651" s="977">
        <v>7.77</v>
      </c>
      <c r="O651" s="961"/>
      <c r="P651" s="499">
        <v>7.77</v>
      </c>
      <c r="Q651" s="499">
        <v>9</v>
      </c>
    </row>
    <row r="652" spans="1:17" ht="12.75" customHeight="1">
      <c r="A652" s="491"/>
      <c r="B652" s="1012"/>
      <c r="C652" s="981"/>
      <c r="D652" s="982"/>
      <c r="E652" s="983"/>
      <c r="F652" s="993"/>
      <c r="G652" s="994"/>
      <c r="H652" s="994"/>
      <c r="I652" s="995"/>
      <c r="J652" s="863" t="s">
        <v>194</v>
      </c>
      <c r="K652" s="975" t="s">
        <v>195</v>
      </c>
      <c r="L652" s="976"/>
      <c r="M652" s="496" t="s">
        <v>140</v>
      </c>
      <c r="N652" s="977">
        <v>7.77</v>
      </c>
      <c r="O652" s="961"/>
      <c r="P652" s="499">
        <v>7.77</v>
      </c>
      <c r="Q652" s="499">
        <v>9</v>
      </c>
    </row>
    <row r="653" spans="1:17" ht="12.75" customHeight="1">
      <c r="A653" s="491"/>
      <c r="B653" s="1012"/>
      <c r="C653" s="981"/>
      <c r="D653" s="982"/>
      <c r="E653" s="983"/>
      <c r="F653" s="993"/>
      <c r="G653" s="994"/>
      <c r="H653" s="994"/>
      <c r="I653" s="995"/>
      <c r="J653" s="863" t="s">
        <v>258</v>
      </c>
      <c r="K653" s="975" t="s">
        <v>259</v>
      </c>
      <c r="L653" s="976"/>
      <c r="M653" s="496" t="s">
        <v>140</v>
      </c>
      <c r="N653" s="977">
        <v>68.13</v>
      </c>
      <c r="O653" s="961"/>
      <c r="P653" s="499">
        <v>68.13</v>
      </c>
      <c r="Q653" s="499">
        <v>75</v>
      </c>
    </row>
    <row r="654" spans="1:17" ht="12.75" customHeight="1">
      <c r="A654" s="491"/>
      <c r="B654" s="1012"/>
      <c r="C654" s="981"/>
      <c r="D654" s="982"/>
      <c r="E654" s="983"/>
      <c r="F654" s="993"/>
      <c r="G654" s="994"/>
      <c r="H654" s="994"/>
      <c r="I654" s="995"/>
      <c r="J654" s="863" t="s">
        <v>208</v>
      </c>
      <c r="K654" s="975" t="s">
        <v>209</v>
      </c>
      <c r="L654" s="976"/>
      <c r="M654" s="496" t="s">
        <v>140</v>
      </c>
      <c r="N654" s="977">
        <v>16.5</v>
      </c>
      <c r="O654" s="961"/>
      <c r="P654" s="499">
        <v>16.5</v>
      </c>
      <c r="Q654" s="499">
        <v>16</v>
      </c>
    </row>
    <row r="655" spans="1:17" ht="12.75" customHeight="1">
      <c r="A655" s="491"/>
      <c r="B655" s="1012"/>
      <c r="C655" s="981"/>
      <c r="D655" s="982"/>
      <c r="E655" s="983"/>
      <c r="F655" s="993"/>
      <c r="G655" s="994"/>
      <c r="H655" s="994"/>
      <c r="I655" s="995"/>
      <c r="J655" s="863" t="s">
        <v>197</v>
      </c>
      <c r="K655" s="975" t="s">
        <v>198</v>
      </c>
      <c r="L655" s="976"/>
      <c r="M655" s="496" t="s">
        <v>140</v>
      </c>
      <c r="N655" s="977">
        <v>27.81</v>
      </c>
      <c r="O655" s="961"/>
      <c r="P655" s="499">
        <v>27.81</v>
      </c>
      <c r="Q655" s="499">
        <v>27.81</v>
      </c>
    </row>
    <row r="656" spans="1:17" ht="12.75" customHeight="1">
      <c r="A656" s="491"/>
      <c r="B656" s="1012"/>
      <c r="C656" s="981"/>
      <c r="D656" s="982"/>
      <c r="E656" s="983"/>
      <c r="F656" s="990"/>
      <c r="G656" s="991"/>
      <c r="H656" s="991"/>
      <c r="I656" s="992"/>
      <c r="J656" s="867" t="s">
        <v>141</v>
      </c>
      <c r="K656" s="958" t="s">
        <v>140</v>
      </c>
      <c r="L656" s="959"/>
      <c r="M656" s="500" t="s">
        <v>140</v>
      </c>
      <c r="N656" s="960" t="s">
        <v>140</v>
      </c>
      <c r="O656" s="961"/>
      <c r="P656" s="498" t="s">
        <v>140</v>
      </c>
      <c r="Q656" s="498" t="s">
        <v>140</v>
      </c>
    </row>
    <row r="657" spans="1:17" ht="12.75" customHeight="1">
      <c r="A657" s="491"/>
      <c r="B657" s="1012"/>
      <c r="C657" s="981"/>
      <c r="D657" s="982"/>
      <c r="E657" s="983"/>
      <c r="F657" s="987" t="s">
        <v>249</v>
      </c>
      <c r="G657" s="988"/>
      <c r="H657" s="988"/>
      <c r="I657" s="989"/>
      <c r="J657" s="863" t="s">
        <v>138</v>
      </c>
      <c r="K657" s="975" t="s">
        <v>139</v>
      </c>
      <c r="L657" s="976"/>
      <c r="M657" s="496" t="s">
        <v>140</v>
      </c>
      <c r="N657" s="977">
        <v>0.97</v>
      </c>
      <c r="O657" s="961"/>
      <c r="P657" s="499">
        <v>0.97</v>
      </c>
      <c r="Q657" s="499">
        <v>1.27</v>
      </c>
    </row>
    <row r="658" spans="1:17" ht="12.75" customHeight="1">
      <c r="A658" s="491"/>
      <c r="B658" s="1012"/>
      <c r="C658" s="981"/>
      <c r="D658" s="982"/>
      <c r="E658" s="983"/>
      <c r="F658" s="990"/>
      <c r="G658" s="991"/>
      <c r="H658" s="991"/>
      <c r="I658" s="992"/>
      <c r="J658" s="867" t="s">
        <v>141</v>
      </c>
      <c r="K658" s="958" t="s">
        <v>140</v>
      </c>
      <c r="L658" s="959"/>
      <c r="M658" s="500" t="s">
        <v>140</v>
      </c>
      <c r="N658" s="960" t="s">
        <v>140</v>
      </c>
      <c r="O658" s="961"/>
      <c r="P658" s="498" t="s">
        <v>140</v>
      </c>
      <c r="Q658" s="498" t="s">
        <v>140</v>
      </c>
    </row>
    <row r="659" spans="1:17" ht="12.75" customHeight="1">
      <c r="A659" s="491"/>
      <c r="B659" s="1012"/>
      <c r="C659" s="981"/>
      <c r="D659" s="982"/>
      <c r="E659" s="983"/>
      <c r="F659" s="987" t="s">
        <v>328</v>
      </c>
      <c r="G659" s="988"/>
      <c r="H659" s="988"/>
      <c r="I659" s="989"/>
      <c r="J659" s="863" t="s">
        <v>182</v>
      </c>
      <c r="K659" s="975" t="s">
        <v>183</v>
      </c>
      <c r="L659" s="976"/>
      <c r="M659" s="496" t="s">
        <v>140</v>
      </c>
      <c r="N659" s="977">
        <v>0</v>
      </c>
      <c r="O659" s="961"/>
      <c r="P659" s="499">
        <v>0</v>
      </c>
      <c r="Q659" s="498" t="s">
        <v>140</v>
      </c>
    </row>
    <row r="660" spans="1:17" ht="12.75" customHeight="1">
      <c r="A660" s="491"/>
      <c r="B660" s="1012"/>
      <c r="C660" s="981"/>
      <c r="D660" s="982"/>
      <c r="E660" s="983"/>
      <c r="F660" s="990"/>
      <c r="G660" s="991"/>
      <c r="H660" s="991"/>
      <c r="I660" s="992"/>
      <c r="J660" s="867" t="s">
        <v>141</v>
      </c>
      <c r="K660" s="958" t="s">
        <v>140</v>
      </c>
      <c r="L660" s="959"/>
      <c r="M660" s="500" t="s">
        <v>140</v>
      </c>
      <c r="N660" s="960" t="s">
        <v>140</v>
      </c>
      <c r="O660" s="961"/>
      <c r="P660" s="498" t="s">
        <v>140</v>
      </c>
      <c r="Q660" s="498" t="s">
        <v>140</v>
      </c>
    </row>
    <row r="661" spans="1:17" ht="12.75" customHeight="1">
      <c r="A661" s="491"/>
      <c r="B661" s="1012"/>
      <c r="C661" s="981"/>
      <c r="D661" s="982"/>
      <c r="E661" s="983"/>
      <c r="F661" s="987" t="s">
        <v>329</v>
      </c>
      <c r="G661" s="988"/>
      <c r="H661" s="988"/>
      <c r="I661" s="989"/>
      <c r="J661" s="863" t="s">
        <v>162</v>
      </c>
      <c r="K661" s="975" t="s">
        <v>163</v>
      </c>
      <c r="L661" s="976"/>
      <c r="M661" s="496" t="s">
        <v>140</v>
      </c>
      <c r="N661" s="977">
        <v>27.3</v>
      </c>
      <c r="O661" s="961"/>
      <c r="P661" s="499">
        <v>27.3</v>
      </c>
      <c r="Q661" s="499">
        <v>34</v>
      </c>
    </row>
    <row r="662" spans="1:17" ht="12.75" customHeight="1">
      <c r="A662" s="491"/>
      <c r="B662" s="1012"/>
      <c r="C662" s="981"/>
      <c r="D662" s="982"/>
      <c r="E662" s="983"/>
      <c r="F662" s="993"/>
      <c r="G662" s="994"/>
      <c r="H662" s="994"/>
      <c r="I662" s="995"/>
      <c r="J662" s="863" t="s">
        <v>164</v>
      </c>
      <c r="K662" s="975" t="s">
        <v>165</v>
      </c>
      <c r="L662" s="976"/>
      <c r="M662" s="496" t="s">
        <v>140</v>
      </c>
      <c r="N662" s="977">
        <v>27.3</v>
      </c>
      <c r="O662" s="961"/>
      <c r="P662" s="499">
        <v>27.3</v>
      </c>
      <c r="Q662" s="499">
        <v>34</v>
      </c>
    </row>
    <row r="663" spans="1:17" ht="12.75" customHeight="1">
      <c r="A663" s="491"/>
      <c r="B663" s="1012"/>
      <c r="C663" s="981"/>
      <c r="D663" s="982"/>
      <c r="E663" s="983"/>
      <c r="F663" s="993"/>
      <c r="G663" s="994"/>
      <c r="H663" s="994"/>
      <c r="I663" s="995"/>
      <c r="J663" s="863" t="s">
        <v>166</v>
      </c>
      <c r="K663" s="975" t="s">
        <v>167</v>
      </c>
      <c r="L663" s="976"/>
      <c r="M663" s="496" t="s">
        <v>140</v>
      </c>
      <c r="N663" s="977">
        <v>29.92</v>
      </c>
      <c r="O663" s="961"/>
      <c r="P663" s="499">
        <v>29.92</v>
      </c>
      <c r="Q663" s="499">
        <v>35</v>
      </c>
    </row>
    <row r="664" spans="1:17" ht="12.75" customHeight="1">
      <c r="A664" s="491"/>
      <c r="B664" s="1012"/>
      <c r="C664" s="981"/>
      <c r="D664" s="982"/>
      <c r="E664" s="983"/>
      <c r="F664" s="993"/>
      <c r="G664" s="994"/>
      <c r="H664" s="994"/>
      <c r="I664" s="995"/>
      <c r="J664" s="863" t="s">
        <v>168</v>
      </c>
      <c r="K664" s="975" t="s">
        <v>169</v>
      </c>
      <c r="L664" s="976"/>
      <c r="M664" s="496" t="s">
        <v>140</v>
      </c>
      <c r="N664" s="977">
        <v>29.92</v>
      </c>
      <c r="O664" s="961"/>
      <c r="P664" s="499">
        <v>29.92</v>
      </c>
      <c r="Q664" s="499">
        <v>35</v>
      </c>
    </row>
    <row r="665" spans="1:17" ht="12.75" customHeight="1">
      <c r="A665" s="491"/>
      <c r="B665" s="1012"/>
      <c r="C665" s="981"/>
      <c r="D665" s="982"/>
      <c r="E665" s="983"/>
      <c r="F665" s="990"/>
      <c r="G665" s="991"/>
      <c r="H665" s="991"/>
      <c r="I665" s="992"/>
      <c r="J665" s="867" t="s">
        <v>141</v>
      </c>
      <c r="K665" s="958" t="s">
        <v>140</v>
      </c>
      <c r="L665" s="959"/>
      <c r="M665" s="500" t="s">
        <v>140</v>
      </c>
      <c r="N665" s="960" t="s">
        <v>140</v>
      </c>
      <c r="O665" s="961"/>
      <c r="P665" s="498" t="s">
        <v>140</v>
      </c>
      <c r="Q665" s="498" t="s">
        <v>140</v>
      </c>
    </row>
    <row r="666" spans="1:17" ht="12.75" customHeight="1">
      <c r="A666" s="491"/>
      <c r="B666" s="1012"/>
      <c r="C666" s="981"/>
      <c r="D666" s="982"/>
      <c r="E666" s="983"/>
      <c r="F666" s="987" t="s">
        <v>330</v>
      </c>
      <c r="G666" s="988"/>
      <c r="H666" s="988"/>
      <c r="I666" s="989"/>
      <c r="J666" s="863" t="s">
        <v>162</v>
      </c>
      <c r="K666" s="975" t="s">
        <v>163</v>
      </c>
      <c r="L666" s="976"/>
      <c r="M666" s="496" t="s">
        <v>140</v>
      </c>
      <c r="N666" s="977">
        <v>27.3</v>
      </c>
      <c r="O666" s="961"/>
      <c r="P666" s="499">
        <v>27.3</v>
      </c>
      <c r="Q666" s="499">
        <v>32</v>
      </c>
    </row>
    <row r="667" spans="1:17" ht="12.75" customHeight="1">
      <c r="A667" s="491"/>
      <c r="B667" s="1012"/>
      <c r="C667" s="981"/>
      <c r="D667" s="982"/>
      <c r="E667" s="983"/>
      <c r="F667" s="993"/>
      <c r="G667" s="994"/>
      <c r="H667" s="994"/>
      <c r="I667" s="995"/>
      <c r="J667" s="863" t="s">
        <v>164</v>
      </c>
      <c r="K667" s="975" t="s">
        <v>165</v>
      </c>
      <c r="L667" s="976"/>
      <c r="M667" s="496" t="s">
        <v>140</v>
      </c>
      <c r="N667" s="977">
        <v>27.3</v>
      </c>
      <c r="O667" s="961"/>
      <c r="P667" s="499">
        <v>27.3</v>
      </c>
      <c r="Q667" s="499">
        <v>32</v>
      </c>
    </row>
    <row r="668" spans="1:17" ht="12.75" customHeight="1">
      <c r="A668" s="491"/>
      <c r="B668" s="1012"/>
      <c r="C668" s="981"/>
      <c r="D668" s="982"/>
      <c r="E668" s="983"/>
      <c r="F668" s="993"/>
      <c r="G668" s="994"/>
      <c r="H668" s="994"/>
      <c r="I668" s="995"/>
      <c r="J668" s="863" t="s">
        <v>166</v>
      </c>
      <c r="K668" s="975" t="s">
        <v>167</v>
      </c>
      <c r="L668" s="976"/>
      <c r="M668" s="496" t="s">
        <v>140</v>
      </c>
      <c r="N668" s="977">
        <v>29.92</v>
      </c>
      <c r="O668" s="961"/>
      <c r="P668" s="499">
        <v>29.92</v>
      </c>
      <c r="Q668" s="499">
        <v>34</v>
      </c>
    </row>
    <row r="669" spans="1:17" ht="12.75" customHeight="1">
      <c r="A669" s="491"/>
      <c r="B669" s="1012"/>
      <c r="C669" s="981"/>
      <c r="D669" s="982"/>
      <c r="E669" s="983"/>
      <c r="F669" s="993"/>
      <c r="G669" s="994"/>
      <c r="H669" s="994"/>
      <c r="I669" s="995"/>
      <c r="J669" s="863" t="s">
        <v>168</v>
      </c>
      <c r="K669" s="975" t="s">
        <v>169</v>
      </c>
      <c r="L669" s="976"/>
      <c r="M669" s="496" t="s">
        <v>140</v>
      </c>
      <c r="N669" s="977">
        <v>29.92</v>
      </c>
      <c r="O669" s="961"/>
      <c r="P669" s="499">
        <v>29.92</v>
      </c>
      <c r="Q669" s="499">
        <v>34</v>
      </c>
    </row>
    <row r="670" spans="1:17" ht="12.75" customHeight="1">
      <c r="A670" s="491"/>
      <c r="B670" s="1012"/>
      <c r="C670" s="981"/>
      <c r="D670" s="982"/>
      <c r="E670" s="983"/>
      <c r="F670" s="993"/>
      <c r="G670" s="994"/>
      <c r="H670" s="994"/>
      <c r="I670" s="995"/>
      <c r="J670" s="863" t="s">
        <v>219</v>
      </c>
      <c r="K670" s="975" t="s">
        <v>220</v>
      </c>
      <c r="L670" s="976"/>
      <c r="M670" s="496" t="s">
        <v>140</v>
      </c>
      <c r="N670" s="977">
        <v>39.72</v>
      </c>
      <c r="O670" s="961"/>
      <c r="P670" s="499">
        <v>39.72</v>
      </c>
      <c r="Q670" s="498" t="s">
        <v>140</v>
      </c>
    </row>
    <row r="671" spans="1:17" ht="12.75" customHeight="1">
      <c r="A671" s="491"/>
      <c r="B671" s="1012"/>
      <c r="C671" s="981"/>
      <c r="D671" s="982"/>
      <c r="E671" s="983"/>
      <c r="F671" s="993"/>
      <c r="G671" s="994"/>
      <c r="H671" s="994"/>
      <c r="I671" s="995"/>
      <c r="J671" s="863" t="s">
        <v>221</v>
      </c>
      <c r="K671" s="975" t="s">
        <v>222</v>
      </c>
      <c r="L671" s="976"/>
      <c r="M671" s="496" t="s">
        <v>140</v>
      </c>
      <c r="N671" s="977">
        <v>39.72</v>
      </c>
      <c r="O671" s="961"/>
      <c r="P671" s="499">
        <v>39.72</v>
      </c>
      <c r="Q671" s="498" t="s">
        <v>140</v>
      </c>
    </row>
    <row r="672" spans="1:17" ht="12.75" customHeight="1">
      <c r="A672" s="491"/>
      <c r="B672" s="1012"/>
      <c r="C672" s="981"/>
      <c r="D672" s="982"/>
      <c r="E672" s="983"/>
      <c r="F672" s="990"/>
      <c r="G672" s="991"/>
      <c r="H672" s="991"/>
      <c r="I672" s="992"/>
      <c r="J672" s="867" t="s">
        <v>141</v>
      </c>
      <c r="K672" s="958" t="s">
        <v>140</v>
      </c>
      <c r="L672" s="959"/>
      <c r="M672" s="500" t="s">
        <v>140</v>
      </c>
      <c r="N672" s="960" t="s">
        <v>140</v>
      </c>
      <c r="O672" s="961"/>
      <c r="P672" s="498" t="s">
        <v>140</v>
      </c>
      <c r="Q672" s="498" t="s">
        <v>140</v>
      </c>
    </row>
    <row r="673" spans="1:17" ht="12.75" customHeight="1">
      <c r="A673" s="491"/>
      <c r="B673" s="1012"/>
      <c r="C673" s="981"/>
      <c r="D673" s="982"/>
      <c r="E673" s="983"/>
      <c r="F673" s="987" t="s">
        <v>250</v>
      </c>
      <c r="G673" s="988"/>
      <c r="H673" s="988"/>
      <c r="I673" s="989"/>
      <c r="J673" s="863" t="s">
        <v>138</v>
      </c>
      <c r="K673" s="975" t="s">
        <v>139</v>
      </c>
      <c r="L673" s="976"/>
      <c r="M673" s="496" t="s">
        <v>140</v>
      </c>
      <c r="N673" s="977">
        <v>0.99</v>
      </c>
      <c r="O673" s="961"/>
      <c r="P673" s="499">
        <v>0.99</v>
      </c>
      <c r="Q673" s="499">
        <v>1.33</v>
      </c>
    </row>
    <row r="674" spans="1:17" ht="12.75" customHeight="1">
      <c r="A674" s="491"/>
      <c r="B674" s="1012"/>
      <c r="C674" s="981"/>
      <c r="D674" s="982"/>
      <c r="E674" s="983"/>
      <c r="F674" s="990"/>
      <c r="G674" s="991"/>
      <c r="H674" s="991"/>
      <c r="I674" s="992"/>
      <c r="J674" s="867" t="s">
        <v>141</v>
      </c>
      <c r="K674" s="958" t="s">
        <v>140</v>
      </c>
      <c r="L674" s="959"/>
      <c r="M674" s="500" t="s">
        <v>140</v>
      </c>
      <c r="N674" s="960" t="s">
        <v>140</v>
      </c>
      <c r="O674" s="961"/>
      <c r="P674" s="498" t="s">
        <v>140</v>
      </c>
      <c r="Q674" s="498" t="s">
        <v>140</v>
      </c>
    </row>
    <row r="675" spans="1:17" ht="12.75" customHeight="1">
      <c r="A675" s="491"/>
      <c r="B675" s="1012"/>
      <c r="C675" s="981"/>
      <c r="D675" s="982"/>
      <c r="E675" s="983"/>
      <c r="F675" s="987" t="s">
        <v>331</v>
      </c>
      <c r="G675" s="988"/>
      <c r="H675" s="988"/>
      <c r="I675" s="989"/>
      <c r="J675" s="863" t="s">
        <v>206</v>
      </c>
      <c r="K675" s="975" t="s">
        <v>207</v>
      </c>
      <c r="L675" s="976"/>
      <c r="M675" s="496" t="s">
        <v>140</v>
      </c>
      <c r="N675" s="977">
        <v>134.63999999999999</v>
      </c>
      <c r="O675" s="961"/>
      <c r="P675" s="499">
        <v>134.63999999999999</v>
      </c>
      <c r="Q675" s="499">
        <v>160</v>
      </c>
    </row>
    <row r="676" spans="1:17" ht="12.75" customHeight="1">
      <c r="A676" s="491"/>
      <c r="B676" s="1012"/>
      <c r="C676" s="981"/>
      <c r="D676" s="982"/>
      <c r="E676" s="983"/>
      <c r="F676" s="993"/>
      <c r="G676" s="994"/>
      <c r="H676" s="994"/>
      <c r="I676" s="995"/>
      <c r="J676" s="863" t="s">
        <v>208</v>
      </c>
      <c r="K676" s="975" t="s">
        <v>209</v>
      </c>
      <c r="L676" s="976"/>
      <c r="M676" s="496" t="s">
        <v>140</v>
      </c>
      <c r="N676" s="977">
        <v>16.829999999999998</v>
      </c>
      <c r="O676" s="961"/>
      <c r="P676" s="499">
        <v>16.829999999999998</v>
      </c>
      <c r="Q676" s="499">
        <v>20</v>
      </c>
    </row>
    <row r="677" spans="1:17" ht="12.75" customHeight="1">
      <c r="A677" s="491"/>
      <c r="B677" s="1012"/>
      <c r="C677" s="981"/>
      <c r="D677" s="982"/>
      <c r="E677" s="983"/>
      <c r="F677" s="990"/>
      <c r="G677" s="991"/>
      <c r="H677" s="991"/>
      <c r="I677" s="992"/>
      <c r="J677" s="867" t="s">
        <v>141</v>
      </c>
      <c r="K677" s="958" t="s">
        <v>140</v>
      </c>
      <c r="L677" s="959"/>
      <c r="M677" s="500" t="s">
        <v>140</v>
      </c>
      <c r="N677" s="960" t="s">
        <v>140</v>
      </c>
      <c r="O677" s="961"/>
      <c r="P677" s="498" t="s">
        <v>140</v>
      </c>
      <c r="Q677" s="498" t="s">
        <v>140</v>
      </c>
    </row>
    <row r="678" spans="1:17" ht="12.75" customHeight="1">
      <c r="A678" s="491"/>
      <c r="B678" s="1012"/>
      <c r="C678" s="981"/>
      <c r="D678" s="982"/>
      <c r="E678" s="983"/>
      <c r="F678" s="987" t="s">
        <v>251</v>
      </c>
      <c r="G678" s="988"/>
      <c r="H678" s="988"/>
      <c r="I678" s="989"/>
      <c r="J678" s="863" t="s">
        <v>144</v>
      </c>
      <c r="K678" s="975" t="s">
        <v>145</v>
      </c>
      <c r="L678" s="976"/>
      <c r="M678" s="496" t="s">
        <v>140</v>
      </c>
      <c r="N678" s="977">
        <v>0</v>
      </c>
      <c r="O678" s="961"/>
      <c r="P678" s="499">
        <v>0</v>
      </c>
      <c r="Q678" s="498" t="s">
        <v>140</v>
      </c>
    </row>
    <row r="679" spans="1:17" ht="12.75" customHeight="1">
      <c r="A679" s="491"/>
      <c r="B679" s="1012"/>
      <c r="C679" s="981"/>
      <c r="D679" s="982"/>
      <c r="E679" s="983"/>
      <c r="F679" s="993"/>
      <c r="G679" s="994"/>
      <c r="H679" s="994"/>
      <c r="I679" s="995"/>
      <c r="J679" s="863" t="s">
        <v>146</v>
      </c>
      <c r="K679" s="975" t="s">
        <v>147</v>
      </c>
      <c r="L679" s="976"/>
      <c r="M679" s="496" t="s">
        <v>140</v>
      </c>
      <c r="N679" s="977">
        <v>84.2</v>
      </c>
      <c r="O679" s="961"/>
      <c r="P679" s="499">
        <v>84.2</v>
      </c>
      <c r="Q679" s="499">
        <v>93.9</v>
      </c>
    </row>
    <row r="680" spans="1:17" ht="12.75" customHeight="1">
      <c r="A680" s="491"/>
      <c r="B680" s="1012"/>
      <c r="C680" s="981"/>
      <c r="D680" s="982"/>
      <c r="E680" s="983"/>
      <c r="F680" s="993"/>
      <c r="G680" s="994"/>
      <c r="H680" s="994"/>
      <c r="I680" s="995"/>
      <c r="J680" s="863" t="s">
        <v>148</v>
      </c>
      <c r="K680" s="975" t="s">
        <v>149</v>
      </c>
      <c r="L680" s="976"/>
      <c r="M680" s="496" t="s">
        <v>140</v>
      </c>
      <c r="N680" s="977">
        <v>64.2</v>
      </c>
      <c r="O680" s="961"/>
      <c r="P680" s="499">
        <v>64.2</v>
      </c>
      <c r="Q680" s="499">
        <v>78.599999999999994</v>
      </c>
    </row>
    <row r="681" spans="1:17" ht="12.75" customHeight="1">
      <c r="A681" s="491"/>
      <c r="B681" s="1012"/>
      <c r="C681" s="981"/>
      <c r="D681" s="982"/>
      <c r="E681" s="983"/>
      <c r="F681" s="993"/>
      <c r="G681" s="994"/>
      <c r="H681" s="994"/>
      <c r="I681" s="995"/>
      <c r="J681" s="863" t="s">
        <v>150</v>
      </c>
      <c r="K681" s="975" t="s">
        <v>151</v>
      </c>
      <c r="L681" s="976"/>
      <c r="M681" s="496" t="s">
        <v>140</v>
      </c>
      <c r="N681" s="977">
        <v>92</v>
      </c>
      <c r="O681" s="961"/>
      <c r="P681" s="499">
        <v>92</v>
      </c>
      <c r="Q681" s="499">
        <v>112</v>
      </c>
    </row>
    <row r="682" spans="1:17" ht="12.75" customHeight="1">
      <c r="A682" s="491"/>
      <c r="B682" s="1012"/>
      <c r="C682" s="981"/>
      <c r="D682" s="982"/>
      <c r="E682" s="983"/>
      <c r="F682" s="990"/>
      <c r="G682" s="991"/>
      <c r="H682" s="991"/>
      <c r="I682" s="992"/>
      <c r="J682" s="867" t="s">
        <v>141</v>
      </c>
      <c r="K682" s="958" t="s">
        <v>140</v>
      </c>
      <c r="L682" s="959"/>
      <c r="M682" s="500" t="s">
        <v>140</v>
      </c>
      <c r="N682" s="960" t="s">
        <v>140</v>
      </c>
      <c r="O682" s="961"/>
      <c r="P682" s="498" t="s">
        <v>140</v>
      </c>
      <c r="Q682" s="498" t="s">
        <v>140</v>
      </c>
    </row>
    <row r="683" spans="1:17" ht="12.75" customHeight="1">
      <c r="A683" s="491"/>
      <c r="B683" s="1012"/>
      <c r="C683" s="981"/>
      <c r="D683" s="982"/>
      <c r="E683" s="983"/>
      <c r="F683" s="987" t="s">
        <v>332</v>
      </c>
      <c r="G683" s="988"/>
      <c r="H683" s="988"/>
      <c r="I683" s="989"/>
      <c r="J683" s="863" t="s">
        <v>162</v>
      </c>
      <c r="K683" s="975" t="s">
        <v>163</v>
      </c>
      <c r="L683" s="976"/>
      <c r="M683" s="496" t="s">
        <v>140</v>
      </c>
      <c r="N683" s="977">
        <v>27.3</v>
      </c>
      <c r="O683" s="961"/>
      <c r="P683" s="499">
        <v>27.3</v>
      </c>
      <c r="Q683" s="499">
        <v>32</v>
      </c>
    </row>
    <row r="684" spans="1:17" ht="12.75" customHeight="1">
      <c r="A684" s="491"/>
      <c r="B684" s="1012"/>
      <c r="C684" s="981"/>
      <c r="D684" s="982"/>
      <c r="E684" s="983"/>
      <c r="F684" s="993"/>
      <c r="G684" s="994"/>
      <c r="H684" s="994"/>
      <c r="I684" s="995"/>
      <c r="J684" s="863" t="s">
        <v>185</v>
      </c>
      <c r="K684" s="975" t="s">
        <v>186</v>
      </c>
      <c r="L684" s="976"/>
      <c r="M684" s="496" t="s">
        <v>140</v>
      </c>
      <c r="N684" s="977">
        <v>49.5</v>
      </c>
      <c r="O684" s="961"/>
      <c r="P684" s="499">
        <v>49.5</v>
      </c>
      <c r="Q684" s="499">
        <v>55</v>
      </c>
    </row>
    <row r="685" spans="1:17" ht="12.75" customHeight="1">
      <c r="A685" s="491"/>
      <c r="B685" s="1012"/>
      <c r="C685" s="981"/>
      <c r="D685" s="982"/>
      <c r="E685" s="983"/>
      <c r="F685" s="993"/>
      <c r="G685" s="994"/>
      <c r="H685" s="994"/>
      <c r="I685" s="995"/>
      <c r="J685" s="863" t="s">
        <v>164</v>
      </c>
      <c r="K685" s="975" t="s">
        <v>165</v>
      </c>
      <c r="L685" s="976"/>
      <c r="M685" s="496" t="s">
        <v>140</v>
      </c>
      <c r="N685" s="977">
        <v>27.3</v>
      </c>
      <c r="O685" s="961"/>
      <c r="P685" s="499">
        <v>27.3</v>
      </c>
      <c r="Q685" s="499">
        <v>32</v>
      </c>
    </row>
    <row r="686" spans="1:17" ht="12.75" customHeight="1">
      <c r="A686" s="491"/>
      <c r="B686" s="1012"/>
      <c r="C686" s="981"/>
      <c r="D686" s="982"/>
      <c r="E686" s="983"/>
      <c r="F686" s="993"/>
      <c r="G686" s="994"/>
      <c r="H686" s="994"/>
      <c r="I686" s="995"/>
      <c r="J686" s="863" t="s">
        <v>166</v>
      </c>
      <c r="K686" s="975" t="s">
        <v>167</v>
      </c>
      <c r="L686" s="976"/>
      <c r="M686" s="496" t="s">
        <v>140</v>
      </c>
      <c r="N686" s="977">
        <v>29.7</v>
      </c>
      <c r="O686" s="961"/>
      <c r="P686" s="499">
        <v>29.7</v>
      </c>
      <c r="Q686" s="499">
        <v>33</v>
      </c>
    </row>
    <row r="687" spans="1:17" ht="12.75" customHeight="1">
      <c r="A687" s="491"/>
      <c r="B687" s="1012"/>
      <c r="C687" s="981"/>
      <c r="D687" s="982"/>
      <c r="E687" s="983"/>
      <c r="F687" s="993"/>
      <c r="G687" s="994"/>
      <c r="H687" s="994"/>
      <c r="I687" s="995"/>
      <c r="J687" s="863" t="s">
        <v>168</v>
      </c>
      <c r="K687" s="975" t="s">
        <v>169</v>
      </c>
      <c r="L687" s="976"/>
      <c r="M687" s="496" t="s">
        <v>140</v>
      </c>
      <c r="N687" s="977">
        <v>29.7</v>
      </c>
      <c r="O687" s="961"/>
      <c r="P687" s="499">
        <v>29.7</v>
      </c>
      <c r="Q687" s="499">
        <v>33</v>
      </c>
    </row>
    <row r="688" spans="1:17" ht="12.75" customHeight="1">
      <c r="A688" s="491"/>
      <c r="B688" s="1012"/>
      <c r="C688" s="981"/>
      <c r="D688" s="982"/>
      <c r="E688" s="983"/>
      <c r="F688" s="990"/>
      <c r="G688" s="991"/>
      <c r="H688" s="991"/>
      <c r="I688" s="992"/>
      <c r="J688" s="867" t="s">
        <v>141</v>
      </c>
      <c r="K688" s="958" t="s">
        <v>140</v>
      </c>
      <c r="L688" s="959"/>
      <c r="M688" s="500" t="s">
        <v>140</v>
      </c>
      <c r="N688" s="960" t="s">
        <v>140</v>
      </c>
      <c r="O688" s="961"/>
      <c r="P688" s="498" t="s">
        <v>140</v>
      </c>
      <c r="Q688" s="498" t="s">
        <v>140</v>
      </c>
    </row>
    <row r="689" spans="1:17" ht="12.75" customHeight="1">
      <c r="A689" s="491"/>
      <c r="B689" s="1012"/>
      <c r="C689" s="981"/>
      <c r="D689" s="982"/>
      <c r="E689" s="983"/>
      <c r="F689" s="987" t="s">
        <v>333</v>
      </c>
      <c r="G689" s="988"/>
      <c r="H689" s="988"/>
      <c r="I689" s="989"/>
      <c r="J689" s="863" t="s">
        <v>206</v>
      </c>
      <c r="K689" s="975" t="s">
        <v>207</v>
      </c>
      <c r="L689" s="976"/>
      <c r="M689" s="496" t="s">
        <v>140</v>
      </c>
      <c r="N689" s="977">
        <v>132</v>
      </c>
      <c r="O689" s="961"/>
      <c r="P689" s="499">
        <v>132</v>
      </c>
      <c r="Q689" s="499">
        <v>146</v>
      </c>
    </row>
    <row r="690" spans="1:17" ht="12.75" customHeight="1">
      <c r="A690" s="491"/>
      <c r="B690" s="1012"/>
      <c r="C690" s="981"/>
      <c r="D690" s="982"/>
      <c r="E690" s="983"/>
      <c r="F690" s="993"/>
      <c r="G690" s="994"/>
      <c r="H690" s="994"/>
      <c r="I690" s="995"/>
      <c r="J690" s="863" t="s">
        <v>208</v>
      </c>
      <c r="K690" s="975" t="s">
        <v>209</v>
      </c>
      <c r="L690" s="976"/>
      <c r="M690" s="496" t="s">
        <v>140</v>
      </c>
      <c r="N690" s="977">
        <v>16.5</v>
      </c>
      <c r="O690" s="961"/>
      <c r="P690" s="499">
        <v>16.5</v>
      </c>
      <c r="Q690" s="499">
        <v>18.25</v>
      </c>
    </row>
    <row r="691" spans="1:17" ht="12.75" customHeight="1">
      <c r="A691" s="491"/>
      <c r="B691" s="1012"/>
      <c r="C691" s="981"/>
      <c r="D691" s="982"/>
      <c r="E691" s="983"/>
      <c r="F691" s="990"/>
      <c r="G691" s="991"/>
      <c r="H691" s="991"/>
      <c r="I691" s="992"/>
      <c r="J691" s="867" t="s">
        <v>141</v>
      </c>
      <c r="K691" s="958" t="s">
        <v>140</v>
      </c>
      <c r="L691" s="959"/>
      <c r="M691" s="500" t="s">
        <v>140</v>
      </c>
      <c r="N691" s="960" t="s">
        <v>140</v>
      </c>
      <c r="O691" s="961"/>
      <c r="P691" s="498" t="s">
        <v>140</v>
      </c>
      <c r="Q691" s="498" t="s">
        <v>140</v>
      </c>
    </row>
    <row r="692" spans="1:17" ht="12.75" customHeight="1">
      <c r="A692" s="491"/>
      <c r="B692" s="1012"/>
      <c r="C692" s="981"/>
      <c r="D692" s="982"/>
      <c r="E692" s="983"/>
      <c r="F692" s="987" t="s">
        <v>252</v>
      </c>
      <c r="G692" s="988"/>
      <c r="H692" s="988"/>
      <c r="I692" s="989"/>
      <c r="J692" s="863" t="s">
        <v>138</v>
      </c>
      <c r="K692" s="975" t="s">
        <v>139</v>
      </c>
      <c r="L692" s="976"/>
      <c r="M692" s="496" t="s">
        <v>140</v>
      </c>
      <c r="N692" s="977">
        <v>1.03</v>
      </c>
      <c r="O692" s="961"/>
      <c r="P692" s="499">
        <v>1.03</v>
      </c>
      <c r="Q692" s="499">
        <v>1.17</v>
      </c>
    </row>
    <row r="693" spans="1:17" ht="12.75" customHeight="1">
      <c r="A693" s="491"/>
      <c r="B693" s="1012"/>
      <c r="C693" s="981"/>
      <c r="D693" s="982"/>
      <c r="E693" s="983"/>
      <c r="F693" s="990"/>
      <c r="G693" s="991"/>
      <c r="H693" s="991"/>
      <c r="I693" s="992"/>
      <c r="J693" s="867" t="s">
        <v>141</v>
      </c>
      <c r="K693" s="958" t="s">
        <v>140</v>
      </c>
      <c r="L693" s="959"/>
      <c r="M693" s="500" t="s">
        <v>140</v>
      </c>
      <c r="N693" s="960" t="s">
        <v>140</v>
      </c>
      <c r="O693" s="961"/>
      <c r="P693" s="498" t="s">
        <v>140</v>
      </c>
      <c r="Q693" s="498" t="s">
        <v>140</v>
      </c>
    </row>
    <row r="694" spans="1:17" ht="12.75" customHeight="1">
      <c r="A694" s="491"/>
      <c r="B694" s="1012"/>
      <c r="C694" s="981"/>
      <c r="D694" s="982"/>
      <c r="E694" s="983"/>
      <c r="F694" s="987" t="s">
        <v>334</v>
      </c>
      <c r="G694" s="988"/>
      <c r="H694" s="988"/>
      <c r="I694" s="989"/>
      <c r="J694" s="863" t="s">
        <v>158</v>
      </c>
      <c r="K694" s="975" t="s">
        <v>159</v>
      </c>
      <c r="L694" s="976"/>
      <c r="M694" s="496" t="s">
        <v>140</v>
      </c>
      <c r="N694" s="977">
        <v>86.1</v>
      </c>
      <c r="O694" s="961"/>
      <c r="P694" s="499">
        <v>86.1</v>
      </c>
      <c r="Q694" s="499">
        <v>125</v>
      </c>
    </row>
    <row r="695" spans="1:17" ht="12.75" customHeight="1">
      <c r="A695" s="491"/>
      <c r="B695" s="1012"/>
      <c r="C695" s="981"/>
      <c r="D695" s="982"/>
      <c r="E695" s="983"/>
      <c r="F695" s="990"/>
      <c r="G695" s="991"/>
      <c r="H695" s="991"/>
      <c r="I695" s="992"/>
      <c r="J695" s="867" t="s">
        <v>141</v>
      </c>
      <c r="K695" s="958" t="s">
        <v>140</v>
      </c>
      <c r="L695" s="959"/>
      <c r="M695" s="500" t="s">
        <v>140</v>
      </c>
      <c r="N695" s="960" t="s">
        <v>140</v>
      </c>
      <c r="O695" s="961"/>
      <c r="P695" s="498" t="s">
        <v>140</v>
      </c>
      <c r="Q695" s="498" t="s">
        <v>140</v>
      </c>
    </row>
    <row r="696" spans="1:17" ht="12.75" customHeight="1">
      <c r="A696" s="491"/>
      <c r="B696" s="1012"/>
      <c r="C696" s="981"/>
      <c r="D696" s="982"/>
      <c r="E696" s="983"/>
      <c r="F696" s="987" t="s">
        <v>335</v>
      </c>
      <c r="G696" s="988"/>
      <c r="H696" s="988"/>
      <c r="I696" s="989"/>
      <c r="J696" s="863" t="s">
        <v>162</v>
      </c>
      <c r="K696" s="975" t="s">
        <v>163</v>
      </c>
      <c r="L696" s="976"/>
      <c r="M696" s="496" t="s">
        <v>140</v>
      </c>
      <c r="N696" s="977">
        <v>27.3</v>
      </c>
      <c r="O696" s="961"/>
      <c r="P696" s="499">
        <v>27.3</v>
      </c>
      <c r="Q696" s="499">
        <v>37</v>
      </c>
    </row>
    <row r="697" spans="1:17" ht="12.75" customHeight="1">
      <c r="A697" s="491"/>
      <c r="B697" s="1012"/>
      <c r="C697" s="981"/>
      <c r="D697" s="982"/>
      <c r="E697" s="983"/>
      <c r="F697" s="993"/>
      <c r="G697" s="994"/>
      <c r="H697" s="994"/>
      <c r="I697" s="995"/>
      <c r="J697" s="863" t="s">
        <v>164</v>
      </c>
      <c r="K697" s="975" t="s">
        <v>165</v>
      </c>
      <c r="L697" s="976"/>
      <c r="M697" s="496" t="s">
        <v>140</v>
      </c>
      <c r="N697" s="977">
        <v>27.3</v>
      </c>
      <c r="O697" s="961"/>
      <c r="P697" s="499">
        <v>27.3</v>
      </c>
      <c r="Q697" s="499">
        <v>37</v>
      </c>
    </row>
    <row r="698" spans="1:17" ht="12.75" customHeight="1">
      <c r="A698" s="491"/>
      <c r="B698" s="1012"/>
      <c r="C698" s="981"/>
      <c r="D698" s="982"/>
      <c r="E698" s="983"/>
      <c r="F698" s="993"/>
      <c r="G698" s="994"/>
      <c r="H698" s="994"/>
      <c r="I698" s="995"/>
      <c r="J698" s="863" t="s">
        <v>166</v>
      </c>
      <c r="K698" s="975" t="s">
        <v>167</v>
      </c>
      <c r="L698" s="976"/>
      <c r="M698" s="496" t="s">
        <v>140</v>
      </c>
      <c r="N698" s="977">
        <v>29.92</v>
      </c>
      <c r="O698" s="961"/>
      <c r="P698" s="499">
        <v>29.92</v>
      </c>
      <c r="Q698" s="499">
        <v>37</v>
      </c>
    </row>
    <row r="699" spans="1:17" ht="12.75" customHeight="1">
      <c r="A699" s="491"/>
      <c r="B699" s="1012"/>
      <c r="C699" s="981"/>
      <c r="D699" s="982"/>
      <c r="E699" s="983"/>
      <c r="F699" s="993"/>
      <c r="G699" s="994"/>
      <c r="H699" s="994"/>
      <c r="I699" s="995"/>
      <c r="J699" s="863" t="s">
        <v>168</v>
      </c>
      <c r="K699" s="975" t="s">
        <v>169</v>
      </c>
      <c r="L699" s="976"/>
      <c r="M699" s="496" t="s">
        <v>140</v>
      </c>
      <c r="N699" s="977">
        <v>29.92</v>
      </c>
      <c r="O699" s="961"/>
      <c r="P699" s="499">
        <v>29.92</v>
      </c>
      <c r="Q699" s="499">
        <v>37</v>
      </c>
    </row>
    <row r="700" spans="1:17" ht="12.75" customHeight="1">
      <c r="A700" s="491"/>
      <c r="B700" s="1012"/>
      <c r="C700" s="981"/>
      <c r="D700" s="982"/>
      <c r="E700" s="983"/>
      <c r="F700" s="990"/>
      <c r="G700" s="991"/>
      <c r="H700" s="991"/>
      <c r="I700" s="992"/>
      <c r="J700" s="867" t="s">
        <v>141</v>
      </c>
      <c r="K700" s="958" t="s">
        <v>140</v>
      </c>
      <c r="L700" s="959"/>
      <c r="M700" s="500" t="s">
        <v>140</v>
      </c>
      <c r="N700" s="960" t="s">
        <v>140</v>
      </c>
      <c r="O700" s="961"/>
      <c r="P700" s="498" t="s">
        <v>140</v>
      </c>
      <c r="Q700" s="498" t="s">
        <v>140</v>
      </c>
    </row>
    <row r="701" spans="1:17" ht="12.75" customHeight="1">
      <c r="A701" s="491"/>
      <c r="B701" s="1012"/>
      <c r="C701" s="981"/>
      <c r="D701" s="982"/>
      <c r="E701" s="983"/>
      <c r="F701" s="987" t="s">
        <v>336</v>
      </c>
      <c r="G701" s="988"/>
      <c r="H701" s="988"/>
      <c r="I701" s="989"/>
      <c r="J701" s="863" t="s">
        <v>162</v>
      </c>
      <c r="K701" s="975" t="s">
        <v>163</v>
      </c>
      <c r="L701" s="976"/>
      <c r="M701" s="496" t="s">
        <v>140</v>
      </c>
      <c r="N701" s="977">
        <v>27.3</v>
      </c>
      <c r="O701" s="961"/>
      <c r="P701" s="499">
        <v>27.3</v>
      </c>
      <c r="Q701" s="499">
        <v>31.5</v>
      </c>
    </row>
    <row r="702" spans="1:17" ht="12.75" customHeight="1">
      <c r="A702" s="491"/>
      <c r="B702" s="1012"/>
      <c r="C702" s="981"/>
      <c r="D702" s="982"/>
      <c r="E702" s="983"/>
      <c r="F702" s="993"/>
      <c r="G702" s="994"/>
      <c r="H702" s="994"/>
      <c r="I702" s="995"/>
      <c r="J702" s="863" t="s">
        <v>164</v>
      </c>
      <c r="K702" s="975" t="s">
        <v>165</v>
      </c>
      <c r="L702" s="976"/>
      <c r="M702" s="496" t="s">
        <v>140</v>
      </c>
      <c r="N702" s="977">
        <v>27.3</v>
      </c>
      <c r="O702" s="961"/>
      <c r="P702" s="499">
        <v>27.3</v>
      </c>
      <c r="Q702" s="499">
        <v>31.5</v>
      </c>
    </row>
    <row r="703" spans="1:17" ht="12.75" customHeight="1">
      <c r="A703" s="491"/>
      <c r="B703" s="1012"/>
      <c r="C703" s="981"/>
      <c r="D703" s="982"/>
      <c r="E703" s="983"/>
      <c r="F703" s="990"/>
      <c r="G703" s="991"/>
      <c r="H703" s="991"/>
      <c r="I703" s="992"/>
      <c r="J703" s="867" t="s">
        <v>141</v>
      </c>
      <c r="K703" s="958" t="s">
        <v>140</v>
      </c>
      <c r="L703" s="959"/>
      <c r="M703" s="500" t="s">
        <v>140</v>
      </c>
      <c r="N703" s="960" t="s">
        <v>140</v>
      </c>
      <c r="O703" s="961"/>
      <c r="P703" s="498" t="s">
        <v>140</v>
      </c>
      <c r="Q703" s="498" t="s">
        <v>140</v>
      </c>
    </row>
    <row r="704" spans="1:17" ht="12.75" customHeight="1">
      <c r="A704" s="491"/>
      <c r="B704" s="1012"/>
      <c r="C704" s="981"/>
      <c r="D704" s="982"/>
      <c r="E704" s="983"/>
      <c r="F704" s="987" t="s">
        <v>337</v>
      </c>
      <c r="G704" s="988"/>
      <c r="H704" s="988"/>
      <c r="I704" s="989"/>
      <c r="J704" s="863" t="s">
        <v>206</v>
      </c>
      <c r="K704" s="975" t="s">
        <v>207</v>
      </c>
      <c r="L704" s="976"/>
      <c r="M704" s="496" t="s">
        <v>140</v>
      </c>
      <c r="N704" s="977">
        <v>134.63999999999999</v>
      </c>
      <c r="O704" s="961"/>
      <c r="P704" s="499">
        <v>134.63999999999999</v>
      </c>
      <c r="Q704" s="499">
        <v>150</v>
      </c>
    </row>
    <row r="705" spans="1:17" ht="12.75" customHeight="1">
      <c r="A705" s="491"/>
      <c r="B705" s="1012"/>
      <c r="C705" s="981"/>
      <c r="D705" s="982"/>
      <c r="E705" s="983"/>
      <c r="F705" s="993"/>
      <c r="G705" s="994"/>
      <c r="H705" s="994"/>
      <c r="I705" s="995"/>
      <c r="J705" s="863" t="s">
        <v>208</v>
      </c>
      <c r="K705" s="975" t="s">
        <v>209</v>
      </c>
      <c r="L705" s="976"/>
      <c r="M705" s="496" t="s">
        <v>140</v>
      </c>
      <c r="N705" s="977">
        <v>16.829999999999998</v>
      </c>
      <c r="O705" s="961"/>
      <c r="P705" s="499">
        <v>16.829999999999998</v>
      </c>
      <c r="Q705" s="499">
        <v>18.75</v>
      </c>
    </row>
    <row r="706" spans="1:17" ht="12.75" customHeight="1">
      <c r="A706" s="491"/>
      <c r="B706" s="1012"/>
      <c r="C706" s="981"/>
      <c r="D706" s="982"/>
      <c r="E706" s="983"/>
      <c r="F706" s="990"/>
      <c r="G706" s="991"/>
      <c r="H706" s="991"/>
      <c r="I706" s="992"/>
      <c r="J706" s="867" t="s">
        <v>141</v>
      </c>
      <c r="K706" s="958" t="s">
        <v>140</v>
      </c>
      <c r="L706" s="959"/>
      <c r="M706" s="500" t="s">
        <v>140</v>
      </c>
      <c r="N706" s="960" t="s">
        <v>140</v>
      </c>
      <c r="O706" s="961"/>
      <c r="P706" s="498" t="s">
        <v>140</v>
      </c>
      <c r="Q706" s="498" t="s">
        <v>140</v>
      </c>
    </row>
    <row r="707" spans="1:17" ht="12.75" customHeight="1">
      <c r="A707" s="491"/>
      <c r="B707" s="1012"/>
      <c r="C707" s="981"/>
      <c r="D707" s="982"/>
      <c r="E707" s="983"/>
      <c r="F707" s="987" t="s">
        <v>338</v>
      </c>
      <c r="G707" s="988"/>
      <c r="H707" s="988"/>
      <c r="I707" s="989"/>
      <c r="J707" s="863" t="s">
        <v>162</v>
      </c>
      <c r="K707" s="975" t="s">
        <v>163</v>
      </c>
      <c r="L707" s="976"/>
      <c r="M707" s="496" t="s">
        <v>140</v>
      </c>
      <c r="N707" s="977">
        <v>27.3</v>
      </c>
      <c r="O707" s="961"/>
      <c r="P707" s="499">
        <v>27.3</v>
      </c>
      <c r="Q707" s="499">
        <v>35</v>
      </c>
    </row>
    <row r="708" spans="1:17" ht="12.75" customHeight="1">
      <c r="A708" s="491"/>
      <c r="B708" s="1012"/>
      <c r="C708" s="981"/>
      <c r="D708" s="982"/>
      <c r="E708" s="983"/>
      <c r="F708" s="993"/>
      <c r="G708" s="994"/>
      <c r="H708" s="994"/>
      <c r="I708" s="995"/>
      <c r="J708" s="863" t="s">
        <v>164</v>
      </c>
      <c r="K708" s="975" t="s">
        <v>165</v>
      </c>
      <c r="L708" s="976"/>
      <c r="M708" s="496" t="s">
        <v>140</v>
      </c>
      <c r="N708" s="977">
        <v>27.3</v>
      </c>
      <c r="O708" s="961"/>
      <c r="P708" s="499">
        <v>27.3</v>
      </c>
      <c r="Q708" s="499">
        <v>35</v>
      </c>
    </row>
    <row r="709" spans="1:17" ht="12.75" customHeight="1">
      <c r="A709" s="491"/>
      <c r="B709" s="1012"/>
      <c r="C709" s="981"/>
      <c r="D709" s="982"/>
      <c r="E709" s="983"/>
      <c r="F709" s="993"/>
      <c r="G709" s="994"/>
      <c r="H709" s="994"/>
      <c r="I709" s="995"/>
      <c r="J709" s="863" t="s">
        <v>166</v>
      </c>
      <c r="K709" s="975" t="s">
        <v>167</v>
      </c>
      <c r="L709" s="976"/>
      <c r="M709" s="496" t="s">
        <v>140</v>
      </c>
      <c r="N709" s="977">
        <v>29.92</v>
      </c>
      <c r="O709" s="961"/>
      <c r="P709" s="499">
        <v>29.92</v>
      </c>
      <c r="Q709" s="499">
        <v>35</v>
      </c>
    </row>
    <row r="710" spans="1:17" ht="12.75" customHeight="1">
      <c r="A710" s="491"/>
      <c r="B710" s="1012"/>
      <c r="C710" s="981"/>
      <c r="D710" s="982"/>
      <c r="E710" s="983"/>
      <c r="F710" s="993"/>
      <c r="G710" s="994"/>
      <c r="H710" s="994"/>
      <c r="I710" s="995"/>
      <c r="J710" s="863" t="s">
        <v>168</v>
      </c>
      <c r="K710" s="975" t="s">
        <v>169</v>
      </c>
      <c r="L710" s="976"/>
      <c r="M710" s="496" t="s">
        <v>140</v>
      </c>
      <c r="N710" s="977">
        <v>29.92</v>
      </c>
      <c r="O710" s="961"/>
      <c r="P710" s="499">
        <v>29.92</v>
      </c>
      <c r="Q710" s="499">
        <v>35</v>
      </c>
    </row>
    <row r="711" spans="1:17" ht="12.75" customHeight="1">
      <c r="A711" s="491"/>
      <c r="B711" s="1012"/>
      <c r="C711" s="981"/>
      <c r="D711" s="982"/>
      <c r="E711" s="983"/>
      <c r="F711" s="990"/>
      <c r="G711" s="991"/>
      <c r="H711" s="991"/>
      <c r="I711" s="992"/>
      <c r="J711" s="867" t="s">
        <v>141</v>
      </c>
      <c r="K711" s="958" t="s">
        <v>140</v>
      </c>
      <c r="L711" s="959"/>
      <c r="M711" s="500" t="s">
        <v>140</v>
      </c>
      <c r="N711" s="960" t="s">
        <v>140</v>
      </c>
      <c r="O711" s="961"/>
      <c r="P711" s="498" t="s">
        <v>140</v>
      </c>
      <c r="Q711" s="498" t="s">
        <v>140</v>
      </c>
    </row>
    <row r="712" spans="1:17" ht="12.75" customHeight="1">
      <c r="A712" s="491"/>
      <c r="B712" s="1012"/>
      <c r="C712" s="981"/>
      <c r="D712" s="982"/>
      <c r="E712" s="983"/>
      <c r="F712" s="987" t="s">
        <v>339</v>
      </c>
      <c r="G712" s="988"/>
      <c r="H712" s="988"/>
      <c r="I712" s="989"/>
      <c r="J712" s="863" t="s">
        <v>162</v>
      </c>
      <c r="K712" s="975" t="s">
        <v>163</v>
      </c>
      <c r="L712" s="976"/>
      <c r="M712" s="496" t="s">
        <v>140</v>
      </c>
      <c r="N712" s="977">
        <v>27.3</v>
      </c>
      <c r="O712" s="961"/>
      <c r="P712" s="499">
        <v>27.3</v>
      </c>
      <c r="Q712" s="499">
        <v>34</v>
      </c>
    </row>
    <row r="713" spans="1:17" ht="12.75" customHeight="1">
      <c r="A713" s="491"/>
      <c r="B713" s="1012"/>
      <c r="C713" s="981"/>
      <c r="D713" s="982"/>
      <c r="E713" s="983"/>
      <c r="F713" s="993"/>
      <c r="G713" s="994"/>
      <c r="H713" s="994"/>
      <c r="I713" s="995"/>
      <c r="J713" s="863" t="s">
        <v>164</v>
      </c>
      <c r="K713" s="975" t="s">
        <v>165</v>
      </c>
      <c r="L713" s="976"/>
      <c r="M713" s="496" t="s">
        <v>140</v>
      </c>
      <c r="N713" s="977">
        <v>27.3</v>
      </c>
      <c r="O713" s="961"/>
      <c r="P713" s="499">
        <v>27.3</v>
      </c>
      <c r="Q713" s="499">
        <v>34</v>
      </c>
    </row>
    <row r="714" spans="1:17" ht="12.75" customHeight="1">
      <c r="A714" s="491"/>
      <c r="B714" s="1012"/>
      <c r="C714" s="981"/>
      <c r="D714" s="982"/>
      <c r="E714" s="983"/>
      <c r="F714" s="993"/>
      <c r="G714" s="994"/>
      <c r="H714" s="994"/>
      <c r="I714" s="995"/>
      <c r="J714" s="863" t="s">
        <v>166</v>
      </c>
      <c r="K714" s="975" t="s">
        <v>167</v>
      </c>
      <c r="L714" s="976"/>
      <c r="M714" s="496" t="s">
        <v>140</v>
      </c>
      <c r="N714" s="977">
        <v>29.92</v>
      </c>
      <c r="O714" s="961"/>
      <c r="P714" s="499">
        <v>29.92</v>
      </c>
      <c r="Q714" s="499">
        <v>34</v>
      </c>
    </row>
    <row r="715" spans="1:17" ht="12.75" customHeight="1">
      <c r="A715" s="491"/>
      <c r="B715" s="1012"/>
      <c r="C715" s="981"/>
      <c r="D715" s="982"/>
      <c r="E715" s="983"/>
      <c r="F715" s="993"/>
      <c r="G715" s="994"/>
      <c r="H715" s="994"/>
      <c r="I715" s="995"/>
      <c r="J715" s="863" t="s">
        <v>168</v>
      </c>
      <c r="K715" s="975" t="s">
        <v>169</v>
      </c>
      <c r="L715" s="976"/>
      <c r="M715" s="496" t="s">
        <v>140</v>
      </c>
      <c r="N715" s="977">
        <v>29.92</v>
      </c>
      <c r="O715" s="961"/>
      <c r="P715" s="499">
        <v>29.92</v>
      </c>
      <c r="Q715" s="499">
        <v>34</v>
      </c>
    </row>
    <row r="716" spans="1:17" ht="12.75" customHeight="1">
      <c r="A716" s="491"/>
      <c r="B716" s="1012"/>
      <c r="C716" s="981"/>
      <c r="D716" s="982"/>
      <c r="E716" s="983"/>
      <c r="F716" s="990"/>
      <c r="G716" s="991"/>
      <c r="H716" s="991"/>
      <c r="I716" s="992"/>
      <c r="J716" s="867" t="s">
        <v>141</v>
      </c>
      <c r="K716" s="958" t="s">
        <v>140</v>
      </c>
      <c r="L716" s="959"/>
      <c r="M716" s="500" t="s">
        <v>140</v>
      </c>
      <c r="N716" s="960" t="s">
        <v>140</v>
      </c>
      <c r="O716" s="961"/>
      <c r="P716" s="498" t="s">
        <v>140</v>
      </c>
      <c r="Q716" s="498" t="s">
        <v>140</v>
      </c>
    </row>
    <row r="717" spans="1:17" ht="12.75" customHeight="1">
      <c r="A717" s="491"/>
      <c r="B717" s="1012"/>
      <c r="C717" s="981"/>
      <c r="D717" s="982"/>
      <c r="E717" s="983"/>
      <c r="F717" s="987" t="s">
        <v>340</v>
      </c>
      <c r="G717" s="988"/>
      <c r="H717" s="988"/>
      <c r="I717" s="989"/>
      <c r="J717" s="863" t="s">
        <v>162</v>
      </c>
      <c r="K717" s="975" t="s">
        <v>163</v>
      </c>
      <c r="L717" s="976"/>
      <c r="M717" s="496" t="s">
        <v>140</v>
      </c>
      <c r="N717" s="977">
        <v>27</v>
      </c>
      <c r="O717" s="961"/>
      <c r="P717" s="499">
        <v>27</v>
      </c>
      <c r="Q717" s="499">
        <v>35</v>
      </c>
    </row>
    <row r="718" spans="1:17" ht="12.75" customHeight="1">
      <c r="A718" s="491"/>
      <c r="B718" s="1012"/>
      <c r="C718" s="981"/>
      <c r="D718" s="982"/>
      <c r="E718" s="983"/>
      <c r="F718" s="993"/>
      <c r="G718" s="994"/>
      <c r="H718" s="994"/>
      <c r="I718" s="995"/>
      <c r="J718" s="863" t="s">
        <v>164</v>
      </c>
      <c r="K718" s="975" t="s">
        <v>165</v>
      </c>
      <c r="L718" s="976"/>
      <c r="M718" s="496" t="s">
        <v>140</v>
      </c>
      <c r="N718" s="977">
        <v>27</v>
      </c>
      <c r="O718" s="961"/>
      <c r="P718" s="499">
        <v>27</v>
      </c>
      <c r="Q718" s="499">
        <v>35</v>
      </c>
    </row>
    <row r="719" spans="1:17" ht="12.75" customHeight="1">
      <c r="A719" s="491"/>
      <c r="B719" s="1012"/>
      <c r="C719" s="981"/>
      <c r="D719" s="982"/>
      <c r="E719" s="983"/>
      <c r="F719" s="993"/>
      <c r="G719" s="994"/>
      <c r="H719" s="994"/>
      <c r="I719" s="995"/>
      <c r="J719" s="863" t="s">
        <v>178</v>
      </c>
      <c r="K719" s="975" t="s">
        <v>179</v>
      </c>
      <c r="L719" s="976"/>
      <c r="M719" s="496" t="s">
        <v>140</v>
      </c>
      <c r="N719" s="977">
        <v>54</v>
      </c>
      <c r="O719" s="961"/>
      <c r="P719" s="499">
        <v>54</v>
      </c>
      <c r="Q719" s="499">
        <v>60</v>
      </c>
    </row>
    <row r="720" spans="1:17" ht="12.75" customHeight="1">
      <c r="A720" s="491"/>
      <c r="B720" s="1012"/>
      <c r="C720" s="981"/>
      <c r="D720" s="982"/>
      <c r="E720" s="983"/>
      <c r="F720" s="993"/>
      <c r="G720" s="994"/>
      <c r="H720" s="994"/>
      <c r="I720" s="995"/>
      <c r="J720" s="863" t="s">
        <v>166</v>
      </c>
      <c r="K720" s="975" t="s">
        <v>167</v>
      </c>
      <c r="L720" s="976"/>
      <c r="M720" s="496" t="s">
        <v>140</v>
      </c>
      <c r="N720" s="977">
        <v>29</v>
      </c>
      <c r="O720" s="961"/>
      <c r="P720" s="499">
        <v>29</v>
      </c>
      <c r="Q720" s="499">
        <v>35</v>
      </c>
    </row>
    <row r="721" spans="1:17" ht="12.75" customHeight="1">
      <c r="A721" s="491"/>
      <c r="B721" s="1012"/>
      <c r="C721" s="981"/>
      <c r="D721" s="982"/>
      <c r="E721" s="983"/>
      <c r="F721" s="993"/>
      <c r="G721" s="994"/>
      <c r="H721" s="994"/>
      <c r="I721" s="995"/>
      <c r="J721" s="863" t="s">
        <v>168</v>
      </c>
      <c r="K721" s="975" t="s">
        <v>169</v>
      </c>
      <c r="L721" s="976"/>
      <c r="M721" s="496" t="s">
        <v>140</v>
      </c>
      <c r="N721" s="977">
        <v>29</v>
      </c>
      <c r="O721" s="961"/>
      <c r="P721" s="499">
        <v>29</v>
      </c>
      <c r="Q721" s="499">
        <v>35</v>
      </c>
    </row>
    <row r="722" spans="1:17" ht="12.75" customHeight="1">
      <c r="A722" s="491"/>
      <c r="B722" s="1012"/>
      <c r="C722" s="981"/>
      <c r="D722" s="982"/>
      <c r="E722" s="983"/>
      <c r="F722" s="990"/>
      <c r="G722" s="991"/>
      <c r="H722" s="991"/>
      <c r="I722" s="992"/>
      <c r="J722" s="867" t="s">
        <v>141</v>
      </c>
      <c r="K722" s="958" t="s">
        <v>140</v>
      </c>
      <c r="L722" s="959"/>
      <c r="M722" s="500" t="s">
        <v>140</v>
      </c>
      <c r="N722" s="960" t="s">
        <v>140</v>
      </c>
      <c r="O722" s="961"/>
      <c r="P722" s="498" t="s">
        <v>140</v>
      </c>
      <c r="Q722" s="498" t="s">
        <v>140</v>
      </c>
    </row>
    <row r="723" spans="1:17" ht="12.75" customHeight="1">
      <c r="A723" s="491"/>
      <c r="B723" s="1012"/>
      <c r="C723" s="981"/>
      <c r="D723" s="982"/>
      <c r="E723" s="983"/>
      <c r="F723" s="987" t="s">
        <v>341</v>
      </c>
      <c r="G723" s="988"/>
      <c r="H723" s="988"/>
      <c r="I723" s="989"/>
      <c r="J723" s="863" t="s">
        <v>172</v>
      </c>
      <c r="K723" s="975" t="s">
        <v>173</v>
      </c>
      <c r="L723" s="976"/>
      <c r="M723" s="496" t="s">
        <v>140</v>
      </c>
      <c r="N723" s="977">
        <v>44.88</v>
      </c>
      <c r="O723" s="961"/>
      <c r="P723" s="499">
        <v>44.88</v>
      </c>
      <c r="Q723" s="499">
        <v>50</v>
      </c>
    </row>
    <row r="724" spans="1:17" ht="12.75" customHeight="1">
      <c r="A724" s="491"/>
      <c r="B724" s="1012"/>
      <c r="C724" s="981"/>
      <c r="D724" s="982"/>
      <c r="E724" s="983"/>
      <c r="F724" s="993"/>
      <c r="G724" s="994"/>
      <c r="H724" s="994"/>
      <c r="I724" s="995"/>
      <c r="J724" s="863" t="s">
        <v>162</v>
      </c>
      <c r="K724" s="975" t="s">
        <v>163</v>
      </c>
      <c r="L724" s="976"/>
      <c r="M724" s="496" t="s">
        <v>140</v>
      </c>
      <c r="N724" s="977">
        <v>25</v>
      </c>
      <c r="O724" s="961"/>
      <c r="P724" s="499">
        <v>25</v>
      </c>
      <c r="Q724" s="499">
        <v>28</v>
      </c>
    </row>
    <row r="725" spans="1:17" ht="12.75" customHeight="1">
      <c r="A725" s="491"/>
      <c r="B725" s="1012"/>
      <c r="C725" s="981"/>
      <c r="D725" s="982"/>
      <c r="E725" s="983"/>
      <c r="F725" s="993"/>
      <c r="G725" s="994"/>
      <c r="H725" s="994"/>
      <c r="I725" s="995"/>
      <c r="J725" s="863" t="s">
        <v>174</v>
      </c>
      <c r="K725" s="975" t="s">
        <v>175</v>
      </c>
      <c r="L725" s="976"/>
      <c r="M725" s="496" t="s">
        <v>140</v>
      </c>
      <c r="N725" s="977">
        <v>48.1</v>
      </c>
      <c r="O725" s="961"/>
      <c r="P725" s="499">
        <v>48.1</v>
      </c>
      <c r="Q725" s="499">
        <v>54</v>
      </c>
    </row>
    <row r="726" spans="1:17" ht="12.75" customHeight="1">
      <c r="A726" s="491"/>
      <c r="B726" s="1012"/>
      <c r="C726" s="981"/>
      <c r="D726" s="982"/>
      <c r="E726" s="983"/>
      <c r="F726" s="993"/>
      <c r="G726" s="994"/>
      <c r="H726" s="994"/>
      <c r="I726" s="995"/>
      <c r="J726" s="863" t="s">
        <v>176</v>
      </c>
      <c r="K726" s="975" t="s">
        <v>177</v>
      </c>
      <c r="L726" s="976"/>
      <c r="M726" s="496" t="s">
        <v>140</v>
      </c>
      <c r="N726" s="977">
        <v>26</v>
      </c>
      <c r="O726" s="961"/>
      <c r="P726" s="499">
        <v>26</v>
      </c>
      <c r="Q726" s="499">
        <v>29</v>
      </c>
    </row>
    <row r="727" spans="1:17" ht="12.75" customHeight="1">
      <c r="A727" s="491"/>
      <c r="B727" s="1012"/>
      <c r="C727" s="981"/>
      <c r="D727" s="982"/>
      <c r="E727" s="983"/>
      <c r="F727" s="993"/>
      <c r="G727" s="994"/>
      <c r="H727" s="994"/>
      <c r="I727" s="995"/>
      <c r="J727" s="863" t="s">
        <v>164</v>
      </c>
      <c r="K727" s="975" t="s">
        <v>165</v>
      </c>
      <c r="L727" s="976"/>
      <c r="M727" s="496" t="s">
        <v>140</v>
      </c>
      <c r="N727" s="977">
        <v>25</v>
      </c>
      <c r="O727" s="961"/>
      <c r="P727" s="499">
        <v>25</v>
      </c>
      <c r="Q727" s="499">
        <v>28</v>
      </c>
    </row>
    <row r="728" spans="1:17" ht="12.75" customHeight="1">
      <c r="A728" s="491"/>
      <c r="B728" s="1012"/>
      <c r="C728" s="981"/>
      <c r="D728" s="982"/>
      <c r="E728" s="983"/>
      <c r="F728" s="993"/>
      <c r="G728" s="994"/>
      <c r="H728" s="994"/>
      <c r="I728" s="995"/>
      <c r="J728" s="863" t="s">
        <v>178</v>
      </c>
      <c r="K728" s="975" t="s">
        <v>179</v>
      </c>
      <c r="L728" s="976"/>
      <c r="M728" s="496" t="s">
        <v>140</v>
      </c>
      <c r="N728" s="977">
        <v>62.47</v>
      </c>
      <c r="O728" s="961"/>
      <c r="P728" s="499">
        <v>62.47</v>
      </c>
      <c r="Q728" s="499">
        <v>75</v>
      </c>
    </row>
    <row r="729" spans="1:17" ht="12.75" customHeight="1">
      <c r="A729" s="491"/>
      <c r="B729" s="1012"/>
      <c r="C729" s="981"/>
      <c r="D729" s="982"/>
      <c r="E729" s="983"/>
      <c r="F729" s="993"/>
      <c r="G729" s="994"/>
      <c r="H729" s="994"/>
      <c r="I729" s="995"/>
      <c r="J729" s="863" t="s">
        <v>166</v>
      </c>
      <c r="K729" s="975" t="s">
        <v>167</v>
      </c>
      <c r="L729" s="976"/>
      <c r="M729" s="496" t="s">
        <v>140</v>
      </c>
      <c r="N729" s="977">
        <v>26</v>
      </c>
      <c r="O729" s="961"/>
      <c r="P729" s="499">
        <v>26</v>
      </c>
      <c r="Q729" s="499">
        <v>29</v>
      </c>
    </row>
    <row r="730" spans="1:17" ht="12.75" customHeight="1">
      <c r="A730" s="491"/>
      <c r="B730" s="1012"/>
      <c r="C730" s="981"/>
      <c r="D730" s="982"/>
      <c r="E730" s="983"/>
      <c r="F730" s="993"/>
      <c r="G730" s="994"/>
      <c r="H730" s="994"/>
      <c r="I730" s="995"/>
      <c r="J730" s="863" t="s">
        <v>168</v>
      </c>
      <c r="K730" s="975" t="s">
        <v>169</v>
      </c>
      <c r="L730" s="976"/>
      <c r="M730" s="496" t="s">
        <v>140</v>
      </c>
      <c r="N730" s="977">
        <v>26</v>
      </c>
      <c r="O730" s="961"/>
      <c r="P730" s="499">
        <v>26</v>
      </c>
      <c r="Q730" s="499">
        <v>29</v>
      </c>
    </row>
    <row r="731" spans="1:17" ht="12.75" customHeight="1">
      <c r="A731" s="491"/>
      <c r="B731" s="1012"/>
      <c r="C731" s="981"/>
      <c r="D731" s="982"/>
      <c r="E731" s="983"/>
      <c r="F731" s="990"/>
      <c r="G731" s="991"/>
      <c r="H731" s="991"/>
      <c r="I731" s="992"/>
      <c r="J731" s="867" t="s">
        <v>141</v>
      </c>
      <c r="K731" s="958" t="s">
        <v>140</v>
      </c>
      <c r="L731" s="959"/>
      <c r="M731" s="500" t="s">
        <v>140</v>
      </c>
      <c r="N731" s="960" t="s">
        <v>140</v>
      </c>
      <c r="O731" s="961"/>
      <c r="P731" s="498" t="s">
        <v>140</v>
      </c>
      <c r="Q731" s="498" t="s">
        <v>140</v>
      </c>
    </row>
    <row r="732" spans="1:17" ht="12.75" customHeight="1">
      <c r="A732" s="491"/>
      <c r="B732" s="1012"/>
      <c r="C732" s="981"/>
      <c r="D732" s="982"/>
      <c r="E732" s="983"/>
      <c r="F732" s="987" t="s">
        <v>342</v>
      </c>
      <c r="G732" s="988"/>
      <c r="H732" s="988"/>
      <c r="I732" s="989"/>
      <c r="J732" s="863" t="s">
        <v>162</v>
      </c>
      <c r="K732" s="975" t="s">
        <v>163</v>
      </c>
      <c r="L732" s="976"/>
      <c r="M732" s="496" t="s">
        <v>140</v>
      </c>
      <c r="N732" s="977">
        <v>27.3</v>
      </c>
      <c r="O732" s="961"/>
      <c r="P732" s="499">
        <v>27.3</v>
      </c>
      <c r="Q732" s="499">
        <v>38</v>
      </c>
    </row>
    <row r="733" spans="1:17" ht="12.75" customHeight="1">
      <c r="A733" s="491"/>
      <c r="B733" s="1012"/>
      <c r="C733" s="981"/>
      <c r="D733" s="982"/>
      <c r="E733" s="983"/>
      <c r="F733" s="993"/>
      <c r="G733" s="994"/>
      <c r="H733" s="994"/>
      <c r="I733" s="995"/>
      <c r="J733" s="863" t="s">
        <v>164</v>
      </c>
      <c r="K733" s="975" t="s">
        <v>165</v>
      </c>
      <c r="L733" s="976"/>
      <c r="M733" s="496" t="s">
        <v>140</v>
      </c>
      <c r="N733" s="977">
        <v>27.3</v>
      </c>
      <c r="O733" s="961"/>
      <c r="P733" s="499">
        <v>27.3</v>
      </c>
      <c r="Q733" s="499">
        <v>38</v>
      </c>
    </row>
    <row r="734" spans="1:17" ht="12.75" customHeight="1">
      <c r="A734" s="491"/>
      <c r="B734" s="1012"/>
      <c r="C734" s="981"/>
      <c r="D734" s="982"/>
      <c r="E734" s="983"/>
      <c r="F734" s="993"/>
      <c r="G734" s="994"/>
      <c r="H734" s="994"/>
      <c r="I734" s="995"/>
      <c r="J734" s="863" t="s">
        <v>178</v>
      </c>
      <c r="K734" s="975" t="s">
        <v>179</v>
      </c>
      <c r="L734" s="976"/>
      <c r="M734" s="496" t="s">
        <v>140</v>
      </c>
      <c r="N734" s="977">
        <v>62.47</v>
      </c>
      <c r="O734" s="961"/>
      <c r="P734" s="499">
        <v>62.47</v>
      </c>
      <c r="Q734" s="499">
        <v>120</v>
      </c>
    </row>
    <row r="735" spans="1:17" ht="12.75" customHeight="1">
      <c r="A735" s="491"/>
      <c r="B735" s="1012"/>
      <c r="C735" s="981"/>
      <c r="D735" s="982"/>
      <c r="E735" s="983"/>
      <c r="F735" s="993"/>
      <c r="G735" s="994"/>
      <c r="H735" s="994"/>
      <c r="I735" s="995"/>
      <c r="J735" s="863" t="s">
        <v>166</v>
      </c>
      <c r="K735" s="975" t="s">
        <v>167</v>
      </c>
      <c r="L735" s="976"/>
      <c r="M735" s="496" t="s">
        <v>140</v>
      </c>
      <c r="N735" s="977">
        <v>29.92</v>
      </c>
      <c r="O735" s="961"/>
      <c r="P735" s="499">
        <v>29.92</v>
      </c>
      <c r="Q735" s="499">
        <v>40</v>
      </c>
    </row>
    <row r="736" spans="1:17" ht="12.75" customHeight="1">
      <c r="A736" s="491"/>
      <c r="B736" s="1012"/>
      <c r="C736" s="981"/>
      <c r="D736" s="982"/>
      <c r="E736" s="983"/>
      <c r="F736" s="993"/>
      <c r="G736" s="994"/>
      <c r="H736" s="994"/>
      <c r="I736" s="995"/>
      <c r="J736" s="863" t="s">
        <v>168</v>
      </c>
      <c r="K736" s="975" t="s">
        <v>169</v>
      </c>
      <c r="L736" s="976"/>
      <c r="M736" s="496" t="s">
        <v>140</v>
      </c>
      <c r="N736" s="977">
        <v>29.92</v>
      </c>
      <c r="O736" s="961"/>
      <c r="P736" s="499">
        <v>29.92</v>
      </c>
      <c r="Q736" s="499">
        <v>50</v>
      </c>
    </row>
    <row r="737" spans="1:17" ht="12.75" customHeight="1">
      <c r="A737" s="491"/>
      <c r="B737" s="1012"/>
      <c r="C737" s="981"/>
      <c r="D737" s="982"/>
      <c r="E737" s="983"/>
      <c r="F737" s="993"/>
      <c r="G737" s="994"/>
      <c r="H737" s="994"/>
      <c r="I737" s="995"/>
      <c r="J737" s="863" t="s">
        <v>219</v>
      </c>
      <c r="K737" s="975" t="s">
        <v>220</v>
      </c>
      <c r="L737" s="976"/>
      <c r="M737" s="496" t="s">
        <v>140</v>
      </c>
      <c r="N737" s="977">
        <v>46.72</v>
      </c>
      <c r="O737" s="961"/>
      <c r="P737" s="499">
        <v>46.72</v>
      </c>
      <c r="Q737" s="499">
        <v>75</v>
      </c>
    </row>
    <row r="738" spans="1:17" ht="12.75" customHeight="1">
      <c r="A738" s="491"/>
      <c r="B738" s="1012"/>
      <c r="C738" s="981"/>
      <c r="D738" s="982"/>
      <c r="E738" s="983"/>
      <c r="F738" s="993"/>
      <c r="G738" s="994"/>
      <c r="H738" s="994"/>
      <c r="I738" s="995"/>
      <c r="J738" s="863" t="s">
        <v>221</v>
      </c>
      <c r="K738" s="975" t="s">
        <v>222</v>
      </c>
      <c r="L738" s="976"/>
      <c r="M738" s="496" t="s">
        <v>140</v>
      </c>
      <c r="N738" s="977">
        <v>43.05</v>
      </c>
      <c r="O738" s="961"/>
      <c r="P738" s="499">
        <v>43.05</v>
      </c>
      <c r="Q738" s="499">
        <v>60</v>
      </c>
    </row>
    <row r="739" spans="1:17" ht="12.75" customHeight="1">
      <c r="A739" s="491"/>
      <c r="B739" s="1012"/>
      <c r="C739" s="981"/>
      <c r="D739" s="982"/>
      <c r="E739" s="983"/>
      <c r="F739" s="990"/>
      <c r="G739" s="991"/>
      <c r="H739" s="991"/>
      <c r="I739" s="992"/>
      <c r="J739" s="867" t="s">
        <v>141</v>
      </c>
      <c r="K739" s="958" t="s">
        <v>140</v>
      </c>
      <c r="L739" s="959"/>
      <c r="M739" s="500" t="s">
        <v>140</v>
      </c>
      <c r="N739" s="960" t="s">
        <v>140</v>
      </c>
      <c r="O739" s="961"/>
      <c r="P739" s="498" t="s">
        <v>140</v>
      </c>
      <c r="Q739" s="498" t="s">
        <v>140</v>
      </c>
    </row>
    <row r="740" spans="1:17" ht="12.75" customHeight="1">
      <c r="A740" s="491"/>
      <c r="B740" s="1012"/>
      <c r="C740" s="981"/>
      <c r="D740" s="982"/>
      <c r="E740" s="983"/>
      <c r="F740" s="987" t="s">
        <v>343</v>
      </c>
      <c r="G740" s="988"/>
      <c r="H740" s="988"/>
      <c r="I740" s="989"/>
      <c r="J740" s="863" t="s">
        <v>162</v>
      </c>
      <c r="K740" s="975" t="s">
        <v>163</v>
      </c>
      <c r="L740" s="976"/>
      <c r="M740" s="496" t="s">
        <v>140</v>
      </c>
      <c r="N740" s="977">
        <v>27.3</v>
      </c>
      <c r="O740" s="961"/>
      <c r="P740" s="499">
        <v>27.3</v>
      </c>
      <c r="Q740" s="499">
        <v>35</v>
      </c>
    </row>
    <row r="741" spans="1:17" ht="12.75" customHeight="1">
      <c r="A741" s="491"/>
      <c r="B741" s="1012"/>
      <c r="C741" s="981"/>
      <c r="D741" s="982"/>
      <c r="E741" s="983"/>
      <c r="F741" s="993"/>
      <c r="G741" s="994"/>
      <c r="H741" s="994"/>
      <c r="I741" s="995"/>
      <c r="J741" s="863" t="s">
        <v>176</v>
      </c>
      <c r="K741" s="975" t="s">
        <v>177</v>
      </c>
      <c r="L741" s="976"/>
      <c r="M741" s="496" t="s">
        <v>140</v>
      </c>
      <c r="N741" s="977">
        <v>29.4</v>
      </c>
      <c r="O741" s="961"/>
      <c r="P741" s="499">
        <v>29.4</v>
      </c>
      <c r="Q741" s="499">
        <v>40</v>
      </c>
    </row>
    <row r="742" spans="1:17" ht="12.75" customHeight="1">
      <c r="A742" s="491"/>
      <c r="B742" s="1012"/>
      <c r="C742" s="981"/>
      <c r="D742" s="982"/>
      <c r="E742" s="983"/>
      <c r="F742" s="993"/>
      <c r="G742" s="994"/>
      <c r="H742" s="994"/>
      <c r="I742" s="995"/>
      <c r="J742" s="863" t="s">
        <v>164</v>
      </c>
      <c r="K742" s="975" t="s">
        <v>165</v>
      </c>
      <c r="L742" s="976"/>
      <c r="M742" s="496" t="s">
        <v>140</v>
      </c>
      <c r="N742" s="977">
        <v>27.3</v>
      </c>
      <c r="O742" s="961"/>
      <c r="P742" s="499">
        <v>27.3</v>
      </c>
      <c r="Q742" s="499">
        <v>35</v>
      </c>
    </row>
    <row r="743" spans="1:17" ht="12.75" customHeight="1">
      <c r="A743" s="491"/>
      <c r="B743" s="1012"/>
      <c r="C743" s="981"/>
      <c r="D743" s="982"/>
      <c r="E743" s="983"/>
      <c r="F743" s="993"/>
      <c r="G743" s="994"/>
      <c r="H743" s="994"/>
      <c r="I743" s="995"/>
      <c r="J743" s="863" t="s">
        <v>166</v>
      </c>
      <c r="K743" s="975" t="s">
        <v>167</v>
      </c>
      <c r="L743" s="976"/>
      <c r="M743" s="496" t="s">
        <v>140</v>
      </c>
      <c r="N743" s="977">
        <v>29.92</v>
      </c>
      <c r="O743" s="961"/>
      <c r="P743" s="499">
        <v>29.92</v>
      </c>
      <c r="Q743" s="499">
        <v>35</v>
      </c>
    </row>
    <row r="744" spans="1:17" ht="12.75" customHeight="1">
      <c r="A744" s="491"/>
      <c r="B744" s="1012"/>
      <c r="C744" s="981"/>
      <c r="D744" s="982"/>
      <c r="E744" s="983"/>
      <c r="F744" s="993"/>
      <c r="G744" s="994"/>
      <c r="H744" s="994"/>
      <c r="I744" s="995"/>
      <c r="J744" s="863" t="s">
        <v>168</v>
      </c>
      <c r="K744" s="975" t="s">
        <v>169</v>
      </c>
      <c r="L744" s="976"/>
      <c r="M744" s="496" t="s">
        <v>140</v>
      </c>
      <c r="N744" s="977">
        <v>29.92</v>
      </c>
      <c r="O744" s="961"/>
      <c r="P744" s="499">
        <v>29.92</v>
      </c>
      <c r="Q744" s="499">
        <v>35</v>
      </c>
    </row>
    <row r="745" spans="1:17" ht="12.75" customHeight="1">
      <c r="A745" s="491"/>
      <c r="B745" s="1012"/>
      <c r="C745" s="981"/>
      <c r="D745" s="982"/>
      <c r="E745" s="983"/>
      <c r="F745" s="990"/>
      <c r="G745" s="991"/>
      <c r="H745" s="991"/>
      <c r="I745" s="992"/>
      <c r="J745" s="867" t="s">
        <v>141</v>
      </c>
      <c r="K745" s="958" t="s">
        <v>140</v>
      </c>
      <c r="L745" s="959"/>
      <c r="M745" s="500" t="s">
        <v>140</v>
      </c>
      <c r="N745" s="960" t="s">
        <v>140</v>
      </c>
      <c r="O745" s="961"/>
      <c r="P745" s="498" t="s">
        <v>140</v>
      </c>
      <c r="Q745" s="498" t="s">
        <v>140</v>
      </c>
    </row>
    <row r="746" spans="1:17" ht="12.75" customHeight="1">
      <c r="A746" s="491"/>
      <c r="B746" s="1012"/>
      <c r="C746" s="981"/>
      <c r="D746" s="982"/>
      <c r="E746" s="983"/>
      <c r="F746" s="987" t="s">
        <v>344</v>
      </c>
      <c r="G746" s="988"/>
      <c r="H746" s="988"/>
      <c r="I746" s="989"/>
      <c r="J746" s="863" t="s">
        <v>213</v>
      </c>
      <c r="K746" s="975" t="s">
        <v>214</v>
      </c>
      <c r="L746" s="976"/>
      <c r="M746" s="496" t="s">
        <v>140</v>
      </c>
      <c r="N746" s="977">
        <v>0</v>
      </c>
      <c r="O746" s="961"/>
      <c r="P746" s="499">
        <v>0</v>
      </c>
      <c r="Q746" s="498" t="s">
        <v>140</v>
      </c>
    </row>
    <row r="747" spans="1:17" ht="12.75" customHeight="1">
      <c r="A747" s="491"/>
      <c r="B747" s="1012"/>
      <c r="C747" s="981"/>
      <c r="D747" s="982"/>
      <c r="E747" s="983"/>
      <c r="F747" s="993"/>
      <c r="G747" s="994"/>
      <c r="H747" s="994"/>
      <c r="I747" s="995"/>
      <c r="J747" s="863" t="s">
        <v>215</v>
      </c>
      <c r="K747" s="975" t="s">
        <v>216</v>
      </c>
      <c r="L747" s="976"/>
      <c r="M747" s="496" t="s">
        <v>140</v>
      </c>
      <c r="N747" s="977">
        <v>0</v>
      </c>
      <c r="O747" s="961"/>
      <c r="P747" s="499">
        <v>0</v>
      </c>
      <c r="Q747" s="498" t="s">
        <v>140</v>
      </c>
    </row>
    <row r="748" spans="1:17" ht="12.75" customHeight="1">
      <c r="A748" s="491"/>
      <c r="B748" s="1012"/>
      <c r="C748" s="981"/>
      <c r="D748" s="982"/>
      <c r="E748" s="983"/>
      <c r="F748" s="993"/>
      <c r="G748" s="994"/>
      <c r="H748" s="994"/>
      <c r="I748" s="995"/>
      <c r="J748" s="863" t="s">
        <v>144</v>
      </c>
      <c r="K748" s="975" t="s">
        <v>145</v>
      </c>
      <c r="L748" s="976"/>
      <c r="M748" s="496" t="s">
        <v>140</v>
      </c>
      <c r="N748" s="977">
        <v>0</v>
      </c>
      <c r="O748" s="961"/>
      <c r="P748" s="499">
        <v>0</v>
      </c>
      <c r="Q748" s="498" t="s">
        <v>140</v>
      </c>
    </row>
    <row r="749" spans="1:17" ht="12.75" customHeight="1">
      <c r="A749" s="491"/>
      <c r="B749" s="1012"/>
      <c r="C749" s="981"/>
      <c r="D749" s="982"/>
      <c r="E749" s="983"/>
      <c r="F749" s="993"/>
      <c r="G749" s="994"/>
      <c r="H749" s="994"/>
      <c r="I749" s="995"/>
      <c r="J749" s="863" t="s">
        <v>182</v>
      </c>
      <c r="K749" s="975" t="s">
        <v>183</v>
      </c>
      <c r="L749" s="976"/>
      <c r="M749" s="496" t="s">
        <v>140</v>
      </c>
      <c r="N749" s="977">
        <v>0</v>
      </c>
      <c r="O749" s="961"/>
      <c r="P749" s="499">
        <v>0</v>
      </c>
      <c r="Q749" s="498" t="s">
        <v>140</v>
      </c>
    </row>
    <row r="750" spans="1:17" ht="12.75" customHeight="1">
      <c r="A750" s="491"/>
      <c r="B750" s="1012"/>
      <c r="C750" s="981"/>
      <c r="D750" s="982"/>
      <c r="E750" s="983"/>
      <c r="F750" s="990"/>
      <c r="G750" s="991"/>
      <c r="H750" s="991"/>
      <c r="I750" s="992"/>
      <c r="J750" s="867" t="s">
        <v>141</v>
      </c>
      <c r="K750" s="958" t="s">
        <v>140</v>
      </c>
      <c r="L750" s="959"/>
      <c r="M750" s="500" t="s">
        <v>140</v>
      </c>
      <c r="N750" s="960" t="s">
        <v>140</v>
      </c>
      <c r="O750" s="961"/>
      <c r="P750" s="498" t="s">
        <v>140</v>
      </c>
      <c r="Q750" s="498" t="s">
        <v>140</v>
      </c>
    </row>
    <row r="751" spans="1:17" ht="12.75" customHeight="1">
      <c r="A751" s="491"/>
      <c r="B751" s="1012"/>
      <c r="C751" s="981"/>
      <c r="D751" s="982"/>
      <c r="E751" s="983"/>
      <c r="F751" s="987" t="s">
        <v>345</v>
      </c>
      <c r="G751" s="988"/>
      <c r="H751" s="988"/>
      <c r="I751" s="989"/>
      <c r="J751" s="863" t="s">
        <v>213</v>
      </c>
      <c r="K751" s="975" t="s">
        <v>214</v>
      </c>
      <c r="L751" s="976"/>
      <c r="M751" s="496" t="s">
        <v>140</v>
      </c>
      <c r="N751" s="977">
        <v>0</v>
      </c>
      <c r="O751" s="961"/>
      <c r="P751" s="499">
        <v>0</v>
      </c>
      <c r="Q751" s="499">
        <v>0</v>
      </c>
    </row>
    <row r="752" spans="1:17" ht="12.75" customHeight="1">
      <c r="A752" s="491"/>
      <c r="B752" s="1012"/>
      <c r="C752" s="981"/>
      <c r="D752" s="982"/>
      <c r="E752" s="983"/>
      <c r="F752" s="993"/>
      <c r="G752" s="994"/>
      <c r="H752" s="994"/>
      <c r="I752" s="995"/>
      <c r="J752" s="863" t="s">
        <v>215</v>
      </c>
      <c r="K752" s="975" t="s">
        <v>216</v>
      </c>
      <c r="L752" s="976"/>
      <c r="M752" s="496" t="s">
        <v>140</v>
      </c>
      <c r="N752" s="977">
        <v>0</v>
      </c>
      <c r="O752" s="961"/>
      <c r="P752" s="499">
        <v>0</v>
      </c>
      <c r="Q752" s="499">
        <v>0</v>
      </c>
    </row>
    <row r="753" spans="1:17" ht="12.75" customHeight="1">
      <c r="A753" s="491"/>
      <c r="B753" s="1012"/>
      <c r="C753" s="981"/>
      <c r="D753" s="982"/>
      <c r="E753" s="983"/>
      <c r="F753" s="993"/>
      <c r="G753" s="994"/>
      <c r="H753" s="994"/>
      <c r="I753" s="995"/>
      <c r="J753" s="863" t="s">
        <v>144</v>
      </c>
      <c r="K753" s="975" t="s">
        <v>145</v>
      </c>
      <c r="L753" s="976"/>
      <c r="M753" s="496" t="s">
        <v>140</v>
      </c>
      <c r="N753" s="977">
        <v>0</v>
      </c>
      <c r="O753" s="961"/>
      <c r="P753" s="499">
        <v>0</v>
      </c>
      <c r="Q753" s="499">
        <v>0</v>
      </c>
    </row>
    <row r="754" spans="1:17" ht="12.75" customHeight="1">
      <c r="A754" s="491"/>
      <c r="B754" s="1012"/>
      <c r="C754" s="981"/>
      <c r="D754" s="982"/>
      <c r="E754" s="983"/>
      <c r="F754" s="993"/>
      <c r="G754" s="994"/>
      <c r="H754" s="994"/>
      <c r="I754" s="995"/>
      <c r="J754" s="863" t="s">
        <v>182</v>
      </c>
      <c r="K754" s="975" t="s">
        <v>183</v>
      </c>
      <c r="L754" s="976"/>
      <c r="M754" s="496" t="s">
        <v>140</v>
      </c>
      <c r="N754" s="977">
        <v>0</v>
      </c>
      <c r="O754" s="961"/>
      <c r="P754" s="499">
        <v>0</v>
      </c>
      <c r="Q754" s="499">
        <v>0</v>
      </c>
    </row>
    <row r="755" spans="1:17" ht="12.75" customHeight="1">
      <c r="A755" s="491"/>
      <c r="B755" s="1012"/>
      <c r="C755" s="981"/>
      <c r="D755" s="982"/>
      <c r="E755" s="983"/>
      <c r="F755" s="990"/>
      <c r="G755" s="991"/>
      <c r="H755" s="991"/>
      <c r="I755" s="992"/>
      <c r="J755" s="867" t="s">
        <v>141</v>
      </c>
      <c r="K755" s="958" t="s">
        <v>140</v>
      </c>
      <c r="L755" s="959"/>
      <c r="M755" s="500" t="s">
        <v>140</v>
      </c>
      <c r="N755" s="960" t="s">
        <v>140</v>
      </c>
      <c r="O755" s="961"/>
      <c r="P755" s="498" t="s">
        <v>140</v>
      </c>
      <c r="Q755" s="498" t="s">
        <v>140</v>
      </c>
    </row>
    <row r="756" spans="1:17" ht="12.75" customHeight="1">
      <c r="A756" s="491"/>
      <c r="B756" s="1012"/>
      <c r="C756" s="981"/>
      <c r="D756" s="982"/>
      <c r="E756" s="983"/>
      <c r="F756" s="987" t="s">
        <v>346</v>
      </c>
      <c r="G756" s="988"/>
      <c r="H756" s="988"/>
      <c r="I756" s="989"/>
      <c r="J756" s="863" t="s">
        <v>231</v>
      </c>
      <c r="K756" s="975" t="s">
        <v>232</v>
      </c>
      <c r="L756" s="976"/>
      <c r="M756" s="496" t="s">
        <v>140</v>
      </c>
      <c r="N756" s="977">
        <v>93.97</v>
      </c>
      <c r="O756" s="961"/>
      <c r="P756" s="499">
        <v>93.97</v>
      </c>
      <c r="Q756" s="499">
        <v>173.25</v>
      </c>
    </row>
    <row r="757" spans="1:17" ht="12.75" customHeight="1">
      <c r="A757" s="491"/>
      <c r="B757" s="1012"/>
      <c r="C757" s="981"/>
      <c r="D757" s="982"/>
      <c r="E757" s="983"/>
      <c r="F757" s="993"/>
      <c r="G757" s="994"/>
      <c r="H757" s="994"/>
      <c r="I757" s="995"/>
      <c r="J757" s="863" t="s">
        <v>158</v>
      </c>
      <c r="K757" s="975" t="s">
        <v>159</v>
      </c>
      <c r="L757" s="976"/>
      <c r="M757" s="496" t="s">
        <v>140</v>
      </c>
      <c r="N757" s="977">
        <v>94.49</v>
      </c>
      <c r="O757" s="961"/>
      <c r="P757" s="499">
        <v>94.49</v>
      </c>
      <c r="Q757" s="499">
        <v>173.25</v>
      </c>
    </row>
    <row r="758" spans="1:17" ht="12.75" customHeight="1">
      <c r="A758" s="491"/>
      <c r="B758" s="1012"/>
      <c r="C758" s="981"/>
      <c r="D758" s="982"/>
      <c r="E758" s="983"/>
      <c r="F758" s="990"/>
      <c r="G758" s="991"/>
      <c r="H758" s="991"/>
      <c r="I758" s="992"/>
      <c r="J758" s="867" t="s">
        <v>141</v>
      </c>
      <c r="K758" s="958" t="s">
        <v>140</v>
      </c>
      <c r="L758" s="959"/>
      <c r="M758" s="500" t="s">
        <v>140</v>
      </c>
      <c r="N758" s="960" t="s">
        <v>140</v>
      </c>
      <c r="O758" s="961"/>
      <c r="P758" s="498" t="s">
        <v>140</v>
      </c>
      <c r="Q758" s="498" t="s">
        <v>140</v>
      </c>
    </row>
    <row r="759" spans="1:17" ht="12.75" customHeight="1">
      <c r="A759" s="491"/>
      <c r="B759" s="1012"/>
      <c r="C759" s="981"/>
      <c r="D759" s="982"/>
      <c r="E759" s="983"/>
      <c r="F759" s="987" t="s">
        <v>347</v>
      </c>
      <c r="G759" s="988"/>
      <c r="H759" s="988"/>
      <c r="I759" s="989"/>
      <c r="J759" s="863" t="s">
        <v>206</v>
      </c>
      <c r="K759" s="975" t="s">
        <v>207</v>
      </c>
      <c r="L759" s="976"/>
      <c r="M759" s="496" t="s">
        <v>140</v>
      </c>
      <c r="N759" s="977">
        <v>132</v>
      </c>
      <c r="O759" s="961"/>
      <c r="P759" s="499">
        <v>132</v>
      </c>
      <c r="Q759" s="499">
        <v>146.66999999999999</v>
      </c>
    </row>
    <row r="760" spans="1:17" ht="12.75" customHeight="1">
      <c r="A760" s="491"/>
      <c r="B760" s="1012"/>
      <c r="C760" s="981"/>
      <c r="D760" s="982"/>
      <c r="E760" s="983"/>
      <c r="F760" s="993"/>
      <c r="G760" s="994"/>
      <c r="H760" s="994"/>
      <c r="I760" s="995"/>
      <c r="J760" s="863" t="s">
        <v>208</v>
      </c>
      <c r="K760" s="975" t="s">
        <v>209</v>
      </c>
      <c r="L760" s="976"/>
      <c r="M760" s="496" t="s">
        <v>140</v>
      </c>
      <c r="N760" s="977">
        <v>16.5</v>
      </c>
      <c r="O760" s="961"/>
      <c r="P760" s="499">
        <v>16.5</v>
      </c>
      <c r="Q760" s="499">
        <v>18.34</v>
      </c>
    </row>
    <row r="761" spans="1:17" ht="12.75" customHeight="1">
      <c r="A761" s="491"/>
      <c r="B761" s="1012"/>
      <c r="C761" s="981"/>
      <c r="D761" s="982"/>
      <c r="E761" s="983"/>
      <c r="F761" s="990"/>
      <c r="G761" s="991"/>
      <c r="H761" s="991"/>
      <c r="I761" s="992"/>
      <c r="J761" s="867" t="s">
        <v>141</v>
      </c>
      <c r="K761" s="958" t="s">
        <v>140</v>
      </c>
      <c r="L761" s="959"/>
      <c r="M761" s="500" t="s">
        <v>140</v>
      </c>
      <c r="N761" s="960" t="s">
        <v>140</v>
      </c>
      <c r="O761" s="961"/>
      <c r="P761" s="498" t="s">
        <v>140</v>
      </c>
      <c r="Q761" s="498" t="s">
        <v>140</v>
      </c>
    </row>
    <row r="762" spans="1:17" ht="12.75" customHeight="1">
      <c r="A762" s="491"/>
      <c r="B762" s="1012"/>
      <c r="C762" s="981"/>
      <c r="D762" s="982"/>
      <c r="E762" s="983"/>
      <c r="F762" s="987" t="s">
        <v>348</v>
      </c>
      <c r="G762" s="988"/>
      <c r="H762" s="988"/>
      <c r="I762" s="989"/>
      <c r="J762" s="863" t="s">
        <v>153</v>
      </c>
      <c r="K762" s="975" t="s">
        <v>154</v>
      </c>
      <c r="L762" s="976"/>
      <c r="M762" s="497">
        <v>312019.28999999998</v>
      </c>
      <c r="N762" s="977">
        <v>52.43</v>
      </c>
      <c r="O762" s="961"/>
      <c r="P762" s="499">
        <v>52.43</v>
      </c>
      <c r="Q762" s="499">
        <v>52.43</v>
      </c>
    </row>
    <row r="763" spans="1:17" ht="12.75" customHeight="1">
      <c r="A763" s="491"/>
      <c r="B763" s="1012"/>
      <c r="C763" s="981"/>
      <c r="D763" s="982"/>
      <c r="E763" s="983"/>
      <c r="F763" s="993"/>
      <c r="G763" s="994"/>
      <c r="H763" s="994"/>
      <c r="I763" s="995"/>
      <c r="J763" s="863" t="s">
        <v>155</v>
      </c>
      <c r="K763" s="975" t="s">
        <v>156</v>
      </c>
      <c r="L763" s="976"/>
      <c r="M763" s="497">
        <v>936057.87</v>
      </c>
      <c r="N763" s="977">
        <v>78.900000000000006</v>
      </c>
      <c r="O763" s="961"/>
      <c r="P763" s="499">
        <v>78.900000000000006</v>
      </c>
      <c r="Q763" s="499">
        <v>78.900000000000006</v>
      </c>
    </row>
    <row r="764" spans="1:17" ht="12.75" customHeight="1">
      <c r="A764" s="491"/>
      <c r="B764" s="1012"/>
      <c r="C764" s="981"/>
      <c r="D764" s="982"/>
      <c r="E764" s="983"/>
      <c r="F764" s="990"/>
      <c r="G764" s="991"/>
      <c r="H764" s="991"/>
      <c r="I764" s="992"/>
      <c r="J764" s="867" t="s">
        <v>141</v>
      </c>
      <c r="K764" s="958" t="s">
        <v>140</v>
      </c>
      <c r="L764" s="959"/>
      <c r="M764" s="501">
        <v>1248077.1599999999</v>
      </c>
      <c r="N764" s="960" t="s">
        <v>140</v>
      </c>
      <c r="O764" s="961"/>
      <c r="P764" s="498" t="s">
        <v>140</v>
      </c>
      <c r="Q764" s="498" t="s">
        <v>140</v>
      </c>
    </row>
    <row r="765" spans="1:17" ht="12.75" customHeight="1">
      <c r="A765" s="491"/>
      <c r="B765" s="1012"/>
      <c r="C765" s="981"/>
      <c r="D765" s="982"/>
      <c r="E765" s="983"/>
      <c r="F765" s="987" t="s">
        <v>281</v>
      </c>
      <c r="G765" s="988"/>
      <c r="H765" s="988"/>
      <c r="I765" s="989"/>
      <c r="J765" s="863" t="s">
        <v>321</v>
      </c>
      <c r="K765" s="975" t="s">
        <v>322</v>
      </c>
      <c r="L765" s="976"/>
      <c r="M765" s="497">
        <v>67991.5</v>
      </c>
      <c r="N765" s="977">
        <v>28.2</v>
      </c>
      <c r="O765" s="961"/>
      <c r="P765" s="499">
        <v>28.2</v>
      </c>
      <c r="Q765" s="499">
        <v>28.2</v>
      </c>
    </row>
    <row r="766" spans="1:17" ht="12.75" customHeight="1">
      <c r="A766" s="491"/>
      <c r="B766" s="1012"/>
      <c r="C766" s="981"/>
      <c r="D766" s="982"/>
      <c r="E766" s="983"/>
      <c r="F766" s="993"/>
      <c r="G766" s="994"/>
      <c r="H766" s="994"/>
      <c r="I766" s="995"/>
      <c r="J766" s="863" t="s">
        <v>225</v>
      </c>
      <c r="K766" s="975" t="s">
        <v>226</v>
      </c>
      <c r="L766" s="976"/>
      <c r="M766" s="497">
        <v>522452.5</v>
      </c>
      <c r="N766" s="977">
        <v>131.9</v>
      </c>
      <c r="O766" s="961"/>
      <c r="P766" s="499">
        <v>131.9</v>
      </c>
      <c r="Q766" s="499">
        <v>131.9</v>
      </c>
    </row>
    <row r="767" spans="1:17" ht="12.75" customHeight="1">
      <c r="A767" s="491"/>
      <c r="B767" s="1012"/>
      <c r="C767" s="981"/>
      <c r="D767" s="982"/>
      <c r="E767" s="983"/>
      <c r="F767" s="993"/>
      <c r="G767" s="994"/>
      <c r="H767" s="994"/>
      <c r="I767" s="995"/>
      <c r="J767" s="863" t="s">
        <v>323</v>
      </c>
      <c r="K767" s="975" t="s">
        <v>324</v>
      </c>
      <c r="L767" s="976"/>
      <c r="M767" s="497">
        <v>67991.5</v>
      </c>
      <c r="N767" s="977">
        <v>28.2</v>
      </c>
      <c r="O767" s="961"/>
      <c r="P767" s="499">
        <v>28.2</v>
      </c>
      <c r="Q767" s="499">
        <v>28.2</v>
      </c>
    </row>
    <row r="768" spans="1:17" ht="12.75" customHeight="1">
      <c r="A768" s="491"/>
      <c r="B768" s="1012"/>
      <c r="C768" s="981"/>
      <c r="D768" s="982"/>
      <c r="E768" s="983"/>
      <c r="F768" s="993"/>
      <c r="G768" s="994"/>
      <c r="H768" s="994"/>
      <c r="I768" s="995"/>
      <c r="J768" s="863" t="s">
        <v>227</v>
      </c>
      <c r="K768" s="975" t="s">
        <v>228</v>
      </c>
      <c r="L768" s="976"/>
      <c r="M768" s="497">
        <v>3744231.49</v>
      </c>
      <c r="N768" s="977">
        <v>0</v>
      </c>
      <c r="O768" s="961"/>
      <c r="P768" s="499">
        <v>0</v>
      </c>
      <c r="Q768" s="498" t="s">
        <v>140</v>
      </c>
    </row>
    <row r="769" spans="1:17" ht="12.75" customHeight="1">
      <c r="A769" s="491"/>
      <c r="B769" s="1012"/>
      <c r="C769" s="981"/>
      <c r="D769" s="982"/>
      <c r="E769" s="983"/>
      <c r="F769" s="990"/>
      <c r="G769" s="991"/>
      <c r="H769" s="991"/>
      <c r="I769" s="992"/>
      <c r="J769" s="867" t="s">
        <v>141</v>
      </c>
      <c r="K769" s="958" t="s">
        <v>140</v>
      </c>
      <c r="L769" s="959"/>
      <c r="M769" s="501">
        <v>4402666.99</v>
      </c>
      <c r="N769" s="960" t="s">
        <v>140</v>
      </c>
      <c r="O769" s="961"/>
      <c r="P769" s="498" t="s">
        <v>140</v>
      </c>
      <c r="Q769" s="498" t="s">
        <v>140</v>
      </c>
    </row>
    <row r="770" spans="1:17" ht="12.75" customHeight="1">
      <c r="A770" s="491"/>
      <c r="B770" s="1012"/>
      <c r="C770" s="981"/>
      <c r="D770" s="982"/>
      <c r="E770" s="983"/>
      <c r="F770" s="987" t="s">
        <v>282</v>
      </c>
      <c r="G770" s="988"/>
      <c r="H770" s="988"/>
      <c r="I770" s="989"/>
      <c r="J770" s="863" t="s">
        <v>192</v>
      </c>
      <c r="K770" s="975" t="s">
        <v>193</v>
      </c>
      <c r="L770" s="976"/>
      <c r="M770" s="496" t="s">
        <v>140</v>
      </c>
      <c r="N770" s="977">
        <v>7.9</v>
      </c>
      <c r="O770" s="961"/>
      <c r="P770" s="499">
        <v>7.9</v>
      </c>
      <c r="Q770" s="499">
        <v>14.95</v>
      </c>
    </row>
    <row r="771" spans="1:17" ht="12.75" customHeight="1">
      <c r="A771" s="491"/>
      <c r="B771" s="1012"/>
      <c r="C771" s="981"/>
      <c r="D771" s="982"/>
      <c r="E771" s="983"/>
      <c r="F771" s="993"/>
      <c r="G771" s="994"/>
      <c r="H771" s="994"/>
      <c r="I771" s="995"/>
      <c r="J771" s="863" t="s">
        <v>194</v>
      </c>
      <c r="K771" s="975" t="s">
        <v>195</v>
      </c>
      <c r="L771" s="976"/>
      <c r="M771" s="496" t="s">
        <v>140</v>
      </c>
      <c r="N771" s="977">
        <v>7.9</v>
      </c>
      <c r="O771" s="961"/>
      <c r="P771" s="499">
        <v>7.9</v>
      </c>
      <c r="Q771" s="499">
        <v>14.95</v>
      </c>
    </row>
    <row r="772" spans="1:17" ht="12.75" customHeight="1">
      <c r="A772" s="491"/>
      <c r="B772" s="1012"/>
      <c r="C772" s="981"/>
      <c r="D772" s="982"/>
      <c r="E772" s="983"/>
      <c r="F772" s="990"/>
      <c r="G772" s="991"/>
      <c r="H772" s="991"/>
      <c r="I772" s="992"/>
      <c r="J772" s="867" t="s">
        <v>141</v>
      </c>
      <c r="K772" s="958" t="s">
        <v>140</v>
      </c>
      <c r="L772" s="959"/>
      <c r="M772" s="500" t="s">
        <v>140</v>
      </c>
      <c r="N772" s="960" t="s">
        <v>140</v>
      </c>
      <c r="O772" s="961"/>
      <c r="P772" s="498" t="s">
        <v>140</v>
      </c>
      <c r="Q772" s="498" t="s">
        <v>140</v>
      </c>
    </row>
    <row r="773" spans="1:17" ht="12.75" customHeight="1">
      <c r="A773" s="491"/>
      <c r="B773" s="1012"/>
      <c r="C773" s="981"/>
      <c r="D773" s="982"/>
      <c r="E773" s="983"/>
      <c r="F773" s="987" t="s">
        <v>284</v>
      </c>
      <c r="G773" s="988"/>
      <c r="H773" s="988"/>
      <c r="I773" s="989"/>
      <c r="J773" s="863" t="s">
        <v>178</v>
      </c>
      <c r="K773" s="975" t="s">
        <v>179</v>
      </c>
      <c r="L773" s="976"/>
      <c r="M773" s="496" t="s">
        <v>140</v>
      </c>
      <c r="N773" s="977">
        <v>62.47</v>
      </c>
      <c r="O773" s="961"/>
      <c r="P773" s="499">
        <v>62.47</v>
      </c>
      <c r="Q773" s="499">
        <v>90</v>
      </c>
    </row>
    <row r="774" spans="1:17" ht="12.75" customHeight="1">
      <c r="A774" s="491"/>
      <c r="B774" s="1012"/>
      <c r="C774" s="981"/>
      <c r="D774" s="982"/>
      <c r="E774" s="983"/>
      <c r="F774" s="990"/>
      <c r="G774" s="991"/>
      <c r="H774" s="991"/>
      <c r="I774" s="992"/>
      <c r="J774" s="867" t="s">
        <v>141</v>
      </c>
      <c r="K774" s="958" t="s">
        <v>140</v>
      </c>
      <c r="L774" s="959"/>
      <c r="M774" s="500" t="s">
        <v>140</v>
      </c>
      <c r="N774" s="960" t="s">
        <v>140</v>
      </c>
      <c r="O774" s="961"/>
      <c r="P774" s="498" t="s">
        <v>140</v>
      </c>
      <c r="Q774" s="498" t="s">
        <v>140</v>
      </c>
    </row>
    <row r="775" spans="1:17" ht="12.75" customHeight="1">
      <c r="A775" s="491"/>
      <c r="B775" s="1012"/>
      <c r="C775" s="981"/>
      <c r="D775" s="982"/>
      <c r="E775" s="983"/>
      <c r="F775" s="987" t="s">
        <v>349</v>
      </c>
      <c r="G775" s="988"/>
      <c r="H775" s="988"/>
      <c r="I775" s="989"/>
      <c r="J775" s="863" t="s">
        <v>158</v>
      </c>
      <c r="K775" s="975" t="s">
        <v>159</v>
      </c>
      <c r="L775" s="976"/>
      <c r="M775" s="496" t="s">
        <v>140</v>
      </c>
      <c r="N775" s="977">
        <v>86.1</v>
      </c>
      <c r="O775" s="961"/>
      <c r="P775" s="499">
        <v>86.1</v>
      </c>
      <c r="Q775" s="499">
        <v>150</v>
      </c>
    </row>
    <row r="776" spans="1:17" ht="12.75" customHeight="1">
      <c r="A776" s="491"/>
      <c r="B776" s="1012"/>
      <c r="C776" s="981"/>
      <c r="D776" s="982"/>
      <c r="E776" s="983"/>
      <c r="F776" s="990"/>
      <c r="G776" s="991"/>
      <c r="H776" s="991"/>
      <c r="I776" s="992"/>
      <c r="J776" s="867" t="s">
        <v>141</v>
      </c>
      <c r="K776" s="958" t="s">
        <v>140</v>
      </c>
      <c r="L776" s="959"/>
      <c r="M776" s="500" t="s">
        <v>140</v>
      </c>
      <c r="N776" s="960" t="s">
        <v>140</v>
      </c>
      <c r="O776" s="961"/>
      <c r="P776" s="498" t="s">
        <v>140</v>
      </c>
      <c r="Q776" s="498" t="s">
        <v>140</v>
      </c>
    </row>
    <row r="777" spans="1:17" ht="12.75" customHeight="1">
      <c r="A777" s="491"/>
      <c r="B777" s="1012"/>
      <c r="C777" s="981"/>
      <c r="D777" s="982"/>
      <c r="E777" s="983"/>
      <c r="F777" s="987" t="s">
        <v>285</v>
      </c>
      <c r="G777" s="988"/>
      <c r="H777" s="988"/>
      <c r="I777" s="989"/>
      <c r="J777" s="863" t="s">
        <v>172</v>
      </c>
      <c r="K777" s="975" t="s">
        <v>173</v>
      </c>
      <c r="L777" s="976"/>
      <c r="M777" s="496" t="s">
        <v>140</v>
      </c>
      <c r="N777" s="977">
        <v>47.25</v>
      </c>
      <c r="O777" s="961"/>
      <c r="P777" s="499">
        <v>47.25</v>
      </c>
      <c r="Q777" s="499">
        <v>90</v>
      </c>
    </row>
    <row r="778" spans="1:17" ht="12.75" customHeight="1">
      <c r="A778" s="491"/>
      <c r="B778" s="1012"/>
      <c r="C778" s="981"/>
      <c r="D778" s="982"/>
      <c r="E778" s="983"/>
      <c r="F778" s="993"/>
      <c r="G778" s="994"/>
      <c r="H778" s="994"/>
      <c r="I778" s="995"/>
      <c r="J778" s="863" t="s">
        <v>174</v>
      </c>
      <c r="K778" s="975" t="s">
        <v>175</v>
      </c>
      <c r="L778" s="976"/>
      <c r="M778" s="496" t="s">
        <v>140</v>
      </c>
      <c r="N778" s="977">
        <v>54.49</v>
      </c>
      <c r="O778" s="961"/>
      <c r="P778" s="499">
        <v>54.49</v>
      </c>
      <c r="Q778" s="499">
        <v>90</v>
      </c>
    </row>
    <row r="779" spans="1:17" ht="12.75" customHeight="1">
      <c r="A779" s="491"/>
      <c r="B779" s="1012"/>
      <c r="C779" s="981"/>
      <c r="D779" s="982"/>
      <c r="E779" s="983"/>
      <c r="F779" s="993"/>
      <c r="G779" s="994"/>
      <c r="H779" s="994"/>
      <c r="I779" s="995"/>
      <c r="J779" s="863" t="s">
        <v>213</v>
      </c>
      <c r="K779" s="975" t="s">
        <v>214</v>
      </c>
      <c r="L779" s="976"/>
      <c r="M779" s="496" t="s">
        <v>140</v>
      </c>
      <c r="N779" s="977">
        <v>0</v>
      </c>
      <c r="O779" s="961"/>
      <c r="P779" s="499">
        <v>0</v>
      </c>
      <c r="Q779" s="498" t="s">
        <v>140</v>
      </c>
    </row>
    <row r="780" spans="1:17" ht="12.75" customHeight="1">
      <c r="A780" s="491"/>
      <c r="B780" s="1012"/>
      <c r="C780" s="981"/>
      <c r="D780" s="982"/>
      <c r="E780" s="983"/>
      <c r="F780" s="993"/>
      <c r="G780" s="994"/>
      <c r="H780" s="994"/>
      <c r="I780" s="995"/>
      <c r="J780" s="863" t="s">
        <v>215</v>
      </c>
      <c r="K780" s="975" t="s">
        <v>216</v>
      </c>
      <c r="L780" s="976"/>
      <c r="M780" s="496" t="s">
        <v>140</v>
      </c>
      <c r="N780" s="977">
        <v>0</v>
      </c>
      <c r="O780" s="961"/>
      <c r="P780" s="499">
        <v>0</v>
      </c>
      <c r="Q780" s="498" t="s">
        <v>140</v>
      </c>
    </row>
    <row r="781" spans="1:17" ht="12.75" customHeight="1">
      <c r="A781" s="491"/>
      <c r="B781" s="1012"/>
      <c r="C781" s="981"/>
      <c r="D781" s="982"/>
      <c r="E781" s="983"/>
      <c r="F781" s="993"/>
      <c r="G781" s="994"/>
      <c r="H781" s="994"/>
      <c r="I781" s="995"/>
      <c r="J781" s="863" t="s">
        <v>144</v>
      </c>
      <c r="K781" s="975" t="s">
        <v>145</v>
      </c>
      <c r="L781" s="976"/>
      <c r="M781" s="496" t="s">
        <v>140</v>
      </c>
      <c r="N781" s="977">
        <v>0</v>
      </c>
      <c r="O781" s="961"/>
      <c r="P781" s="499">
        <v>0</v>
      </c>
      <c r="Q781" s="498" t="s">
        <v>140</v>
      </c>
    </row>
    <row r="782" spans="1:17" ht="12.75" customHeight="1">
      <c r="A782" s="491"/>
      <c r="B782" s="1012"/>
      <c r="C782" s="981"/>
      <c r="D782" s="982"/>
      <c r="E782" s="983"/>
      <c r="F782" s="993"/>
      <c r="G782" s="994"/>
      <c r="H782" s="994"/>
      <c r="I782" s="995"/>
      <c r="J782" s="863" t="s">
        <v>146</v>
      </c>
      <c r="K782" s="975" t="s">
        <v>147</v>
      </c>
      <c r="L782" s="976"/>
      <c r="M782" s="496" t="s">
        <v>140</v>
      </c>
      <c r="N782" s="977">
        <v>96.59</v>
      </c>
      <c r="O782" s="961"/>
      <c r="P782" s="499">
        <v>96.59</v>
      </c>
      <c r="Q782" s="499">
        <v>150</v>
      </c>
    </row>
    <row r="783" spans="1:17" ht="12.75" customHeight="1">
      <c r="A783" s="491"/>
      <c r="B783" s="1012"/>
      <c r="C783" s="981"/>
      <c r="D783" s="982"/>
      <c r="E783" s="983"/>
      <c r="F783" s="993"/>
      <c r="G783" s="994"/>
      <c r="H783" s="994"/>
      <c r="I783" s="995"/>
      <c r="J783" s="863" t="s">
        <v>148</v>
      </c>
      <c r="K783" s="975" t="s">
        <v>149</v>
      </c>
      <c r="L783" s="976"/>
      <c r="M783" s="496" t="s">
        <v>140</v>
      </c>
      <c r="N783" s="977">
        <v>74.28</v>
      </c>
      <c r="O783" s="961"/>
      <c r="P783" s="499">
        <v>74.28</v>
      </c>
      <c r="Q783" s="499">
        <v>150</v>
      </c>
    </row>
    <row r="784" spans="1:17" ht="12.75" customHeight="1">
      <c r="A784" s="491"/>
      <c r="B784" s="1012"/>
      <c r="C784" s="981"/>
      <c r="D784" s="982"/>
      <c r="E784" s="983"/>
      <c r="F784" s="990"/>
      <c r="G784" s="991"/>
      <c r="H784" s="991"/>
      <c r="I784" s="992"/>
      <c r="J784" s="867" t="s">
        <v>141</v>
      </c>
      <c r="K784" s="958" t="s">
        <v>140</v>
      </c>
      <c r="L784" s="959"/>
      <c r="M784" s="500" t="s">
        <v>140</v>
      </c>
      <c r="N784" s="960" t="s">
        <v>140</v>
      </c>
      <c r="O784" s="961"/>
      <c r="P784" s="498" t="s">
        <v>140</v>
      </c>
      <c r="Q784" s="498" t="s">
        <v>140</v>
      </c>
    </row>
    <row r="785" spans="1:17" ht="12.75" customHeight="1">
      <c r="A785" s="491"/>
      <c r="B785" s="1012"/>
      <c r="C785" s="981"/>
      <c r="D785" s="982"/>
      <c r="E785" s="983"/>
      <c r="F785" s="987" t="s">
        <v>286</v>
      </c>
      <c r="G785" s="988"/>
      <c r="H785" s="988"/>
      <c r="I785" s="989"/>
      <c r="J785" s="863" t="s">
        <v>172</v>
      </c>
      <c r="K785" s="975" t="s">
        <v>173</v>
      </c>
      <c r="L785" s="976"/>
      <c r="M785" s="496" t="s">
        <v>140</v>
      </c>
      <c r="N785" s="977">
        <v>40</v>
      </c>
      <c r="O785" s="961"/>
      <c r="P785" s="499">
        <v>40</v>
      </c>
      <c r="Q785" s="499">
        <v>45</v>
      </c>
    </row>
    <row r="786" spans="1:17" ht="12.75" customHeight="1">
      <c r="A786" s="491"/>
      <c r="B786" s="1012"/>
      <c r="C786" s="981"/>
      <c r="D786" s="982"/>
      <c r="E786" s="983"/>
      <c r="F786" s="993"/>
      <c r="G786" s="994"/>
      <c r="H786" s="994"/>
      <c r="I786" s="995"/>
      <c r="J786" s="863" t="s">
        <v>162</v>
      </c>
      <c r="K786" s="975" t="s">
        <v>163</v>
      </c>
      <c r="L786" s="976"/>
      <c r="M786" s="496" t="s">
        <v>140</v>
      </c>
      <c r="N786" s="977">
        <v>23.4</v>
      </c>
      <c r="O786" s="961"/>
      <c r="P786" s="499">
        <v>23.4</v>
      </c>
      <c r="Q786" s="499">
        <v>26</v>
      </c>
    </row>
    <row r="787" spans="1:17" ht="12.75" customHeight="1">
      <c r="A787" s="491"/>
      <c r="B787" s="1012"/>
      <c r="C787" s="981"/>
      <c r="D787" s="982"/>
      <c r="E787" s="983"/>
      <c r="F787" s="993"/>
      <c r="G787" s="994"/>
      <c r="H787" s="994"/>
      <c r="I787" s="995"/>
      <c r="J787" s="863" t="s">
        <v>174</v>
      </c>
      <c r="K787" s="975" t="s">
        <v>175</v>
      </c>
      <c r="L787" s="976"/>
      <c r="M787" s="496" t="s">
        <v>140</v>
      </c>
      <c r="N787" s="977">
        <v>42.5</v>
      </c>
      <c r="O787" s="961"/>
      <c r="P787" s="499">
        <v>42.5</v>
      </c>
      <c r="Q787" s="499">
        <v>47</v>
      </c>
    </row>
    <row r="788" spans="1:17" ht="12.75" customHeight="1">
      <c r="A788" s="491"/>
      <c r="B788" s="1012"/>
      <c r="C788" s="981"/>
      <c r="D788" s="982"/>
      <c r="E788" s="983"/>
      <c r="F788" s="993"/>
      <c r="G788" s="994"/>
      <c r="H788" s="994"/>
      <c r="I788" s="995"/>
      <c r="J788" s="863" t="s">
        <v>164</v>
      </c>
      <c r="K788" s="975" t="s">
        <v>165</v>
      </c>
      <c r="L788" s="976"/>
      <c r="M788" s="496" t="s">
        <v>140</v>
      </c>
      <c r="N788" s="977">
        <v>24.3</v>
      </c>
      <c r="O788" s="961"/>
      <c r="P788" s="499">
        <v>24.3</v>
      </c>
      <c r="Q788" s="499">
        <v>27</v>
      </c>
    </row>
    <row r="789" spans="1:17" ht="12.75" customHeight="1">
      <c r="A789" s="491"/>
      <c r="B789" s="1012"/>
      <c r="C789" s="981"/>
      <c r="D789" s="982"/>
      <c r="E789" s="983"/>
      <c r="F789" s="993"/>
      <c r="G789" s="994"/>
      <c r="H789" s="994"/>
      <c r="I789" s="995"/>
      <c r="J789" s="863" t="s">
        <v>215</v>
      </c>
      <c r="K789" s="975" t="s">
        <v>216</v>
      </c>
      <c r="L789" s="976"/>
      <c r="M789" s="496" t="s">
        <v>140</v>
      </c>
      <c r="N789" s="977">
        <v>0</v>
      </c>
      <c r="O789" s="961"/>
      <c r="P789" s="499">
        <v>0</v>
      </c>
      <c r="Q789" s="498" t="s">
        <v>140</v>
      </c>
    </row>
    <row r="790" spans="1:17" ht="12.75" customHeight="1">
      <c r="A790" s="491"/>
      <c r="B790" s="1012"/>
      <c r="C790" s="981"/>
      <c r="D790" s="982"/>
      <c r="E790" s="983"/>
      <c r="F790" s="990"/>
      <c r="G790" s="991"/>
      <c r="H790" s="991"/>
      <c r="I790" s="992"/>
      <c r="J790" s="867" t="s">
        <v>141</v>
      </c>
      <c r="K790" s="958" t="s">
        <v>140</v>
      </c>
      <c r="L790" s="959"/>
      <c r="M790" s="500" t="s">
        <v>140</v>
      </c>
      <c r="N790" s="960" t="s">
        <v>140</v>
      </c>
      <c r="O790" s="961"/>
      <c r="P790" s="498" t="s">
        <v>140</v>
      </c>
      <c r="Q790" s="498" t="s">
        <v>140</v>
      </c>
    </row>
    <row r="791" spans="1:17" ht="12.75" customHeight="1">
      <c r="A791" s="491"/>
      <c r="B791" s="1012"/>
      <c r="C791" s="981"/>
      <c r="D791" s="982"/>
      <c r="E791" s="983"/>
      <c r="F791" s="987" t="s">
        <v>287</v>
      </c>
      <c r="G791" s="988"/>
      <c r="H791" s="988"/>
      <c r="I791" s="989"/>
      <c r="J791" s="863" t="s">
        <v>213</v>
      </c>
      <c r="K791" s="975" t="s">
        <v>214</v>
      </c>
      <c r="L791" s="976"/>
      <c r="M791" s="496" t="s">
        <v>140</v>
      </c>
      <c r="N791" s="977">
        <v>0</v>
      </c>
      <c r="O791" s="961"/>
      <c r="P791" s="499">
        <v>0</v>
      </c>
      <c r="Q791" s="498" t="s">
        <v>140</v>
      </c>
    </row>
    <row r="792" spans="1:17" ht="12.75" customHeight="1">
      <c r="A792" s="491"/>
      <c r="B792" s="1012"/>
      <c r="C792" s="981"/>
      <c r="D792" s="982"/>
      <c r="E792" s="983"/>
      <c r="F792" s="993"/>
      <c r="G792" s="994"/>
      <c r="H792" s="994"/>
      <c r="I792" s="995"/>
      <c r="J792" s="863" t="s">
        <v>215</v>
      </c>
      <c r="K792" s="975" t="s">
        <v>216</v>
      </c>
      <c r="L792" s="976"/>
      <c r="M792" s="496" t="s">
        <v>140</v>
      </c>
      <c r="N792" s="977">
        <v>0</v>
      </c>
      <c r="O792" s="961"/>
      <c r="P792" s="499">
        <v>0</v>
      </c>
      <c r="Q792" s="498" t="s">
        <v>140</v>
      </c>
    </row>
    <row r="793" spans="1:17" ht="12.75" customHeight="1">
      <c r="A793" s="491"/>
      <c r="B793" s="1012"/>
      <c r="C793" s="981"/>
      <c r="D793" s="982"/>
      <c r="E793" s="983"/>
      <c r="F793" s="993"/>
      <c r="G793" s="994"/>
      <c r="H793" s="994"/>
      <c r="I793" s="995"/>
      <c r="J793" s="863" t="s">
        <v>144</v>
      </c>
      <c r="K793" s="975" t="s">
        <v>145</v>
      </c>
      <c r="L793" s="976"/>
      <c r="M793" s="496" t="s">
        <v>140</v>
      </c>
      <c r="N793" s="977">
        <v>0</v>
      </c>
      <c r="O793" s="961"/>
      <c r="P793" s="499">
        <v>0</v>
      </c>
      <c r="Q793" s="498" t="s">
        <v>140</v>
      </c>
    </row>
    <row r="794" spans="1:17" ht="12.75" customHeight="1">
      <c r="A794" s="491"/>
      <c r="B794" s="1012"/>
      <c r="C794" s="981"/>
      <c r="D794" s="982"/>
      <c r="E794" s="983"/>
      <c r="F794" s="990"/>
      <c r="G794" s="991"/>
      <c r="H794" s="991"/>
      <c r="I794" s="992"/>
      <c r="J794" s="867" t="s">
        <v>141</v>
      </c>
      <c r="K794" s="958" t="s">
        <v>140</v>
      </c>
      <c r="L794" s="959"/>
      <c r="M794" s="500" t="s">
        <v>140</v>
      </c>
      <c r="N794" s="960" t="s">
        <v>140</v>
      </c>
      <c r="O794" s="961"/>
      <c r="P794" s="498" t="s">
        <v>140</v>
      </c>
      <c r="Q794" s="498" t="s">
        <v>140</v>
      </c>
    </row>
    <row r="795" spans="1:17" ht="12.75" customHeight="1">
      <c r="A795" s="491"/>
      <c r="B795" s="1012"/>
      <c r="C795" s="981"/>
      <c r="D795" s="982"/>
      <c r="E795" s="983"/>
      <c r="F795" s="987" t="s">
        <v>288</v>
      </c>
      <c r="G795" s="988"/>
      <c r="H795" s="988"/>
      <c r="I795" s="989"/>
      <c r="J795" s="863" t="s">
        <v>162</v>
      </c>
      <c r="K795" s="975" t="s">
        <v>163</v>
      </c>
      <c r="L795" s="976"/>
      <c r="M795" s="496" t="s">
        <v>140</v>
      </c>
      <c r="N795" s="977">
        <v>27.3</v>
      </c>
      <c r="O795" s="961"/>
      <c r="P795" s="499">
        <v>27.3</v>
      </c>
      <c r="Q795" s="499">
        <v>37.25</v>
      </c>
    </row>
    <row r="796" spans="1:17" ht="12.75" customHeight="1">
      <c r="A796" s="491"/>
      <c r="B796" s="1012"/>
      <c r="C796" s="981"/>
      <c r="D796" s="982"/>
      <c r="E796" s="983"/>
      <c r="F796" s="993"/>
      <c r="G796" s="994"/>
      <c r="H796" s="994"/>
      <c r="I796" s="995"/>
      <c r="J796" s="863" t="s">
        <v>164</v>
      </c>
      <c r="K796" s="975" t="s">
        <v>165</v>
      </c>
      <c r="L796" s="976"/>
      <c r="M796" s="496" t="s">
        <v>140</v>
      </c>
      <c r="N796" s="977">
        <v>27.3</v>
      </c>
      <c r="O796" s="961"/>
      <c r="P796" s="499">
        <v>27.3</v>
      </c>
      <c r="Q796" s="499">
        <v>37.25</v>
      </c>
    </row>
    <row r="797" spans="1:17" ht="12.75" customHeight="1">
      <c r="A797" s="491"/>
      <c r="B797" s="1012"/>
      <c r="C797" s="981"/>
      <c r="D797" s="982"/>
      <c r="E797" s="983"/>
      <c r="F797" s="993"/>
      <c r="G797" s="994"/>
      <c r="H797" s="994"/>
      <c r="I797" s="995"/>
      <c r="J797" s="863" t="s">
        <v>166</v>
      </c>
      <c r="K797" s="975" t="s">
        <v>167</v>
      </c>
      <c r="L797" s="976"/>
      <c r="M797" s="496" t="s">
        <v>140</v>
      </c>
      <c r="N797" s="977">
        <v>29.92</v>
      </c>
      <c r="O797" s="961"/>
      <c r="P797" s="499">
        <v>29.92</v>
      </c>
      <c r="Q797" s="499">
        <v>37.25</v>
      </c>
    </row>
    <row r="798" spans="1:17" ht="12.75" customHeight="1">
      <c r="A798" s="491"/>
      <c r="B798" s="1012"/>
      <c r="C798" s="981"/>
      <c r="D798" s="982"/>
      <c r="E798" s="983"/>
      <c r="F798" s="993"/>
      <c r="G798" s="994"/>
      <c r="H798" s="994"/>
      <c r="I798" s="995"/>
      <c r="J798" s="863" t="s">
        <v>168</v>
      </c>
      <c r="K798" s="975" t="s">
        <v>169</v>
      </c>
      <c r="L798" s="976"/>
      <c r="M798" s="496" t="s">
        <v>140</v>
      </c>
      <c r="N798" s="977">
        <v>29.92</v>
      </c>
      <c r="O798" s="961"/>
      <c r="P798" s="499">
        <v>29.92</v>
      </c>
      <c r="Q798" s="499">
        <v>37.25</v>
      </c>
    </row>
    <row r="799" spans="1:17" ht="12.75" customHeight="1">
      <c r="A799" s="491"/>
      <c r="B799" s="1012"/>
      <c r="C799" s="981"/>
      <c r="D799" s="982"/>
      <c r="E799" s="983"/>
      <c r="F799" s="990"/>
      <c r="G799" s="991"/>
      <c r="H799" s="991"/>
      <c r="I799" s="992"/>
      <c r="J799" s="867" t="s">
        <v>141</v>
      </c>
      <c r="K799" s="958" t="s">
        <v>140</v>
      </c>
      <c r="L799" s="959"/>
      <c r="M799" s="500" t="s">
        <v>140</v>
      </c>
      <c r="N799" s="960" t="s">
        <v>140</v>
      </c>
      <c r="O799" s="961"/>
      <c r="P799" s="498" t="s">
        <v>140</v>
      </c>
      <c r="Q799" s="498" t="s">
        <v>140</v>
      </c>
    </row>
    <row r="800" spans="1:17" ht="12.75" customHeight="1">
      <c r="A800" s="491"/>
      <c r="B800" s="1012"/>
      <c r="C800" s="981"/>
      <c r="D800" s="982"/>
      <c r="E800" s="983"/>
      <c r="F800" s="987" t="s">
        <v>289</v>
      </c>
      <c r="G800" s="988"/>
      <c r="H800" s="988"/>
      <c r="I800" s="989"/>
      <c r="J800" s="863" t="s">
        <v>162</v>
      </c>
      <c r="K800" s="975" t="s">
        <v>163</v>
      </c>
      <c r="L800" s="976"/>
      <c r="M800" s="496" t="s">
        <v>140</v>
      </c>
      <c r="N800" s="977">
        <v>27.3</v>
      </c>
      <c r="O800" s="961"/>
      <c r="P800" s="499">
        <v>27.3</v>
      </c>
      <c r="Q800" s="499">
        <v>37</v>
      </c>
    </row>
    <row r="801" spans="1:17" ht="12.75" customHeight="1">
      <c r="A801" s="491"/>
      <c r="B801" s="1012"/>
      <c r="C801" s="981"/>
      <c r="D801" s="982"/>
      <c r="E801" s="983"/>
      <c r="F801" s="993"/>
      <c r="G801" s="994"/>
      <c r="H801" s="994"/>
      <c r="I801" s="995"/>
      <c r="J801" s="863" t="s">
        <v>164</v>
      </c>
      <c r="K801" s="975" t="s">
        <v>165</v>
      </c>
      <c r="L801" s="976"/>
      <c r="M801" s="496" t="s">
        <v>140</v>
      </c>
      <c r="N801" s="977">
        <v>27.3</v>
      </c>
      <c r="O801" s="961"/>
      <c r="P801" s="499">
        <v>27.3</v>
      </c>
      <c r="Q801" s="499">
        <v>37</v>
      </c>
    </row>
    <row r="802" spans="1:17" ht="12.75" customHeight="1">
      <c r="A802" s="491"/>
      <c r="B802" s="1012"/>
      <c r="C802" s="981"/>
      <c r="D802" s="982"/>
      <c r="E802" s="983"/>
      <c r="F802" s="993"/>
      <c r="G802" s="994"/>
      <c r="H802" s="994"/>
      <c r="I802" s="995"/>
      <c r="J802" s="863" t="s">
        <v>166</v>
      </c>
      <c r="K802" s="975" t="s">
        <v>167</v>
      </c>
      <c r="L802" s="976"/>
      <c r="M802" s="496" t="s">
        <v>140</v>
      </c>
      <c r="N802" s="977">
        <v>29.92</v>
      </c>
      <c r="O802" s="961"/>
      <c r="P802" s="499">
        <v>29.92</v>
      </c>
      <c r="Q802" s="499">
        <v>39</v>
      </c>
    </row>
    <row r="803" spans="1:17" ht="12.75" customHeight="1">
      <c r="A803" s="491"/>
      <c r="B803" s="1012"/>
      <c r="C803" s="981"/>
      <c r="D803" s="982"/>
      <c r="E803" s="983"/>
      <c r="F803" s="993"/>
      <c r="G803" s="994"/>
      <c r="H803" s="994"/>
      <c r="I803" s="995"/>
      <c r="J803" s="863" t="s">
        <v>168</v>
      </c>
      <c r="K803" s="975" t="s">
        <v>169</v>
      </c>
      <c r="L803" s="976"/>
      <c r="M803" s="496" t="s">
        <v>140</v>
      </c>
      <c r="N803" s="977">
        <v>29.92</v>
      </c>
      <c r="O803" s="961"/>
      <c r="P803" s="499">
        <v>29.92</v>
      </c>
      <c r="Q803" s="499">
        <v>39</v>
      </c>
    </row>
    <row r="804" spans="1:17" ht="12.75" customHeight="1">
      <c r="A804" s="491"/>
      <c r="B804" s="1012"/>
      <c r="C804" s="981"/>
      <c r="D804" s="982"/>
      <c r="E804" s="983"/>
      <c r="F804" s="990"/>
      <c r="G804" s="991"/>
      <c r="H804" s="991"/>
      <c r="I804" s="992"/>
      <c r="J804" s="867" t="s">
        <v>141</v>
      </c>
      <c r="K804" s="958" t="s">
        <v>140</v>
      </c>
      <c r="L804" s="959"/>
      <c r="M804" s="500" t="s">
        <v>140</v>
      </c>
      <c r="N804" s="960" t="s">
        <v>140</v>
      </c>
      <c r="O804" s="961"/>
      <c r="P804" s="498" t="s">
        <v>140</v>
      </c>
      <c r="Q804" s="498" t="s">
        <v>140</v>
      </c>
    </row>
    <row r="805" spans="1:17" ht="12.75" customHeight="1">
      <c r="A805" s="491"/>
      <c r="B805" s="1012"/>
      <c r="C805" s="981"/>
      <c r="D805" s="982"/>
      <c r="E805" s="983"/>
      <c r="F805" s="987" t="s">
        <v>290</v>
      </c>
      <c r="G805" s="988"/>
      <c r="H805" s="988"/>
      <c r="I805" s="989"/>
      <c r="J805" s="863" t="s">
        <v>162</v>
      </c>
      <c r="K805" s="975" t="s">
        <v>163</v>
      </c>
      <c r="L805" s="976"/>
      <c r="M805" s="496" t="s">
        <v>140</v>
      </c>
      <c r="N805" s="977">
        <v>27.3</v>
      </c>
      <c r="O805" s="961"/>
      <c r="P805" s="499">
        <v>27.3</v>
      </c>
      <c r="Q805" s="499">
        <v>33</v>
      </c>
    </row>
    <row r="806" spans="1:17" ht="12.75" customHeight="1">
      <c r="A806" s="491"/>
      <c r="B806" s="1012"/>
      <c r="C806" s="981"/>
      <c r="D806" s="982"/>
      <c r="E806" s="983"/>
      <c r="F806" s="993"/>
      <c r="G806" s="994"/>
      <c r="H806" s="994"/>
      <c r="I806" s="995"/>
      <c r="J806" s="863" t="s">
        <v>164</v>
      </c>
      <c r="K806" s="975" t="s">
        <v>165</v>
      </c>
      <c r="L806" s="976"/>
      <c r="M806" s="496" t="s">
        <v>140</v>
      </c>
      <c r="N806" s="977">
        <v>27.3</v>
      </c>
      <c r="O806" s="961"/>
      <c r="P806" s="499">
        <v>27.3</v>
      </c>
      <c r="Q806" s="499">
        <v>33</v>
      </c>
    </row>
    <row r="807" spans="1:17" ht="12.75" customHeight="1">
      <c r="A807" s="491"/>
      <c r="B807" s="1012"/>
      <c r="C807" s="981"/>
      <c r="D807" s="982"/>
      <c r="E807" s="983"/>
      <c r="F807" s="993"/>
      <c r="G807" s="994"/>
      <c r="H807" s="994"/>
      <c r="I807" s="995"/>
      <c r="J807" s="863" t="s">
        <v>166</v>
      </c>
      <c r="K807" s="975" t="s">
        <v>167</v>
      </c>
      <c r="L807" s="976"/>
      <c r="M807" s="496" t="s">
        <v>140</v>
      </c>
      <c r="N807" s="977">
        <v>29.7</v>
      </c>
      <c r="O807" s="961"/>
      <c r="P807" s="499">
        <v>29.7</v>
      </c>
      <c r="Q807" s="499">
        <v>33</v>
      </c>
    </row>
    <row r="808" spans="1:17" ht="12.75" customHeight="1">
      <c r="A808" s="491"/>
      <c r="B808" s="1012"/>
      <c r="C808" s="981"/>
      <c r="D808" s="982"/>
      <c r="E808" s="983"/>
      <c r="F808" s="993"/>
      <c r="G808" s="994"/>
      <c r="H808" s="994"/>
      <c r="I808" s="995"/>
      <c r="J808" s="863" t="s">
        <v>168</v>
      </c>
      <c r="K808" s="975" t="s">
        <v>169</v>
      </c>
      <c r="L808" s="976"/>
      <c r="M808" s="496" t="s">
        <v>140</v>
      </c>
      <c r="N808" s="977">
        <v>29.7</v>
      </c>
      <c r="O808" s="961"/>
      <c r="P808" s="499">
        <v>29.7</v>
      </c>
      <c r="Q808" s="499">
        <v>33</v>
      </c>
    </row>
    <row r="809" spans="1:17" ht="12.75" customHeight="1">
      <c r="A809" s="491"/>
      <c r="B809" s="1012"/>
      <c r="C809" s="981"/>
      <c r="D809" s="982"/>
      <c r="E809" s="983"/>
      <c r="F809" s="990"/>
      <c r="G809" s="991"/>
      <c r="H809" s="991"/>
      <c r="I809" s="992"/>
      <c r="J809" s="867" t="s">
        <v>141</v>
      </c>
      <c r="K809" s="958" t="s">
        <v>140</v>
      </c>
      <c r="L809" s="959"/>
      <c r="M809" s="500" t="s">
        <v>140</v>
      </c>
      <c r="N809" s="960" t="s">
        <v>140</v>
      </c>
      <c r="O809" s="961"/>
      <c r="P809" s="498" t="s">
        <v>140</v>
      </c>
      <c r="Q809" s="498" t="s">
        <v>140</v>
      </c>
    </row>
    <row r="810" spans="1:17" ht="12.75" customHeight="1">
      <c r="A810" s="491"/>
      <c r="B810" s="1012"/>
      <c r="C810" s="981"/>
      <c r="D810" s="982"/>
      <c r="E810" s="983"/>
      <c r="F810" s="987" t="s">
        <v>291</v>
      </c>
      <c r="G810" s="988"/>
      <c r="H810" s="988"/>
      <c r="I810" s="989"/>
      <c r="J810" s="863" t="s">
        <v>162</v>
      </c>
      <c r="K810" s="975" t="s">
        <v>163</v>
      </c>
      <c r="L810" s="976"/>
      <c r="M810" s="496" t="s">
        <v>140</v>
      </c>
      <c r="N810" s="977">
        <v>27.3</v>
      </c>
      <c r="O810" s="961"/>
      <c r="P810" s="499">
        <v>27.3</v>
      </c>
      <c r="Q810" s="499">
        <v>31.11</v>
      </c>
    </row>
    <row r="811" spans="1:17" ht="12.75" customHeight="1">
      <c r="A811" s="491"/>
      <c r="B811" s="1012"/>
      <c r="C811" s="981"/>
      <c r="D811" s="982"/>
      <c r="E811" s="983"/>
      <c r="F811" s="993"/>
      <c r="G811" s="994"/>
      <c r="H811" s="994"/>
      <c r="I811" s="995"/>
      <c r="J811" s="863" t="s">
        <v>164</v>
      </c>
      <c r="K811" s="975" t="s">
        <v>165</v>
      </c>
      <c r="L811" s="976"/>
      <c r="M811" s="496" t="s">
        <v>140</v>
      </c>
      <c r="N811" s="977">
        <v>27.3</v>
      </c>
      <c r="O811" s="961"/>
      <c r="P811" s="499">
        <v>27.3</v>
      </c>
      <c r="Q811" s="499">
        <v>31.11</v>
      </c>
    </row>
    <row r="812" spans="1:17" ht="12.75" customHeight="1">
      <c r="A812" s="491"/>
      <c r="B812" s="1012"/>
      <c r="C812" s="981"/>
      <c r="D812" s="982"/>
      <c r="E812" s="983"/>
      <c r="F812" s="993"/>
      <c r="G812" s="994"/>
      <c r="H812" s="994"/>
      <c r="I812" s="995"/>
      <c r="J812" s="863" t="s">
        <v>166</v>
      </c>
      <c r="K812" s="975" t="s">
        <v>167</v>
      </c>
      <c r="L812" s="976"/>
      <c r="M812" s="496" t="s">
        <v>140</v>
      </c>
      <c r="N812" s="977">
        <v>28</v>
      </c>
      <c r="O812" s="961"/>
      <c r="P812" s="499">
        <v>28</v>
      </c>
      <c r="Q812" s="499">
        <v>31.11</v>
      </c>
    </row>
    <row r="813" spans="1:17" ht="12.75" customHeight="1">
      <c r="A813" s="491"/>
      <c r="B813" s="1012"/>
      <c r="C813" s="981"/>
      <c r="D813" s="982"/>
      <c r="E813" s="983"/>
      <c r="F813" s="993"/>
      <c r="G813" s="994"/>
      <c r="H813" s="994"/>
      <c r="I813" s="995"/>
      <c r="J813" s="863" t="s">
        <v>168</v>
      </c>
      <c r="K813" s="975" t="s">
        <v>169</v>
      </c>
      <c r="L813" s="976"/>
      <c r="M813" s="496" t="s">
        <v>140</v>
      </c>
      <c r="N813" s="977">
        <v>28</v>
      </c>
      <c r="O813" s="961"/>
      <c r="P813" s="499">
        <v>28</v>
      </c>
      <c r="Q813" s="499">
        <v>31.11</v>
      </c>
    </row>
    <row r="814" spans="1:17" ht="12.75" customHeight="1">
      <c r="A814" s="491"/>
      <c r="B814" s="1012"/>
      <c r="C814" s="981"/>
      <c r="D814" s="982"/>
      <c r="E814" s="983"/>
      <c r="F814" s="990"/>
      <c r="G814" s="991"/>
      <c r="H814" s="991"/>
      <c r="I814" s="992"/>
      <c r="J814" s="867" t="s">
        <v>141</v>
      </c>
      <c r="K814" s="958" t="s">
        <v>140</v>
      </c>
      <c r="L814" s="959"/>
      <c r="M814" s="500" t="s">
        <v>140</v>
      </c>
      <c r="N814" s="960" t="s">
        <v>140</v>
      </c>
      <c r="O814" s="961"/>
      <c r="P814" s="498" t="s">
        <v>140</v>
      </c>
      <c r="Q814" s="498" t="s">
        <v>140</v>
      </c>
    </row>
    <row r="815" spans="1:17" ht="12.75" customHeight="1">
      <c r="A815" s="491"/>
      <c r="B815" s="1012"/>
      <c r="C815" s="981"/>
      <c r="D815" s="982"/>
      <c r="E815" s="983"/>
      <c r="F815" s="987" t="s">
        <v>292</v>
      </c>
      <c r="G815" s="988"/>
      <c r="H815" s="988"/>
      <c r="I815" s="989"/>
      <c r="J815" s="863" t="s">
        <v>162</v>
      </c>
      <c r="K815" s="975" t="s">
        <v>163</v>
      </c>
      <c r="L815" s="976"/>
      <c r="M815" s="496" t="s">
        <v>140</v>
      </c>
      <c r="N815" s="977">
        <v>25.65</v>
      </c>
      <c r="O815" s="961"/>
      <c r="P815" s="499">
        <v>25.65</v>
      </c>
      <c r="Q815" s="499">
        <v>28.5</v>
      </c>
    </row>
    <row r="816" spans="1:17" ht="12.75" customHeight="1">
      <c r="A816" s="491"/>
      <c r="B816" s="1012"/>
      <c r="C816" s="981"/>
      <c r="D816" s="982"/>
      <c r="E816" s="983"/>
      <c r="F816" s="993"/>
      <c r="G816" s="994"/>
      <c r="H816" s="994"/>
      <c r="I816" s="995"/>
      <c r="J816" s="863" t="s">
        <v>164</v>
      </c>
      <c r="K816" s="975" t="s">
        <v>165</v>
      </c>
      <c r="L816" s="976"/>
      <c r="M816" s="496" t="s">
        <v>140</v>
      </c>
      <c r="N816" s="977">
        <v>25.65</v>
      </c>
      <c r="O816" s="961"/>
      <c r="P816" s="499">
        <v>25.65</v>
      </c>
      <c r="Q816" s="499">
        <v>28.5</v>
      </c>
    </row>
    <row r="817" spans="1:17" ht="12.75" customHeight="1">
      <c r="A817" s="491"/>
      <c r="B817" s="1012"/>
      <c r="C817" s="981"/>
      <c r="D817" s="982"/>
      <c r="E817" s="983"/>
      <c r="F817" s="993"/>
      <c r="G817" s="994"/>
      <c r="H817" s="994"/>
      <c r="I817" s="995"/>
      <c r="J817" s="863" t="s">
        <v>178</v>
      </c>
      <c r="K817" s="975" t="s">
        <v>179</v>
      </c>
      <c r="L817" s="976"/>
      <c r="M817" s="496" t="s">
        <v>140</v>
      </c>
      <c r="N817" s="977">
        <v>56.7</v>
      </c>
      <c r="O817" s="961"/>
      <c r="P817" s="499">
        <v>56.7</v>
      </c>
      <c r="Q817" s="499">
        <v>75</v>
      </c>
    </row>
    <row r="818" spans="1:17" ht="12.75" customHeight="1">
      <c r="A818" s="491"/>
      <c r="B818" s="1012"/>
      <c r="C818" s="981"/>
      <c r="D818" s="982"/>
      <c r="E818" s="983"/>
      <c r="F818" s="993"/>
      <c r="G818" s="994"/>
      <c r="H818" s="994"/>
      <c r="I818" s="995"/>
      <c r="J818" s="863" t="s">
        <v>166</v>
      </c>
      <c r="K818" s="975" t="s">
        <v>167</v>
      </c>
      <c r="L818" s="976"/>
      <c r="M818" s="496" t="s">
        <v>140</v>
      </c>
      <c r="N818" s="977">
        <v>27.58</v>
      </c>
      <c r="O818" s="961"/>
      <c r="P818" s="499">
        <v>27.58</v>
      </c>
      <c r="Q818" s="499">
        <v>30.7</v>
      </c>
    </row>
    <row r="819" spans="1:17" ht="12.75" customHeight="1">
      <c r="A819" s="491"/>
      <c r="B819" s="1012"/>
      <c r="C819" s="981"/>
      <c r="D819" s="982"/>
      <c r="E819" s="983"/>
      <c r="F819" s="993"/>
      <c r="G819" s="994"/>
      <c r="H819" s="994"/>
      <c r="I819" s="995"/>
      <c r="J819" s="863" t="s">
        <v>168</v>
      </c>
      <c r="K819" s="975" t="s">
        <v>169</v>
      </c>
      <c r="L819" s="976"/>
      <c r="M819" s="496" t="s">
        <v>140</v>
      </c>
      <c r="N819" s="977">
        <v>27.58</v>
      </c>
      <c r="O819" s="961"/>
      <c r="P819" s="499">
        <v>27.58</v>
      </c>
      <c r="Q819" s="499">
        <v>31</v>
      </c>
    </row>
    <row r="820" spans="1:17" ht="12.75" customHeight="1">
      <c r="A820" s="491"/>
      <c r="B820" s="1012"/>
      <c r="C820" s="981"/>
      <c r="D820" s="982"/>
      <c r="E820" s="983"/>
      <c r="F820" s="990"/>
      <c r="G820" s="991"/>
      <c r="H820" s="991"/>
      <c r="I820" s="992"/>
      <c r="J820" s="867" t="s">
        <v>141</v>
      </c>
      <c r="K820" s="958" t="s">
        <v>140</v>
      </c>
      <c r="L820" s="959"/>
      <c r="M820" s="500" t="s">
        <v>140</v>
      </c>
      <c r="N820" s="960" t="s">
        <v>140</v>
      </c>
      <c r="O820" s="961"/>
      <c r="P820" s="498" t="s">
        <v>140</v>
      </c>
      <c r="Q820" s="498" t="s">
        <v>140</v>
      </c>
    </row>
    <row r="821" spans="1:17" ht="12.75" customHeight="1">
      <c r="A821" s="491"/>
      <c r="B821" s="1012"/>
      <c r="C821" s="981"/>
      <c r="D821" s="982"/>
      <c r="E821" s="983"/>
      <c r="F821" s="987" t="s">
        <v>293</v>
      </c>
      <c r="G821" s="988"/>
      <c r="H821" s="988"/>
      <c r="I821" s="989"/>
      <c r="J821" s="863" t="s">
        <v>162</v>
      </c>
      <c r="K821" s="975" t="s">
        <v>163</v>
      </c>
      <c r="L821" s="976"/>
      <c r="M821" s="496" t="s">
        <v>140</v>
      </c>
      <c r="N821" s="977">
        <v>27</v>
      </c>
      <c r="O821" s="961"/>
      <c r="P821" s="499">
        <v>27</v>
      </c>
      <c r="Q821" s="499">
        <v>30</v>
      </c>
    </row>
    <row r="822" spans="1:17" ht="12.75" customHeight="1">
      <c r="A822" s="491"/>
      <c r="B822" s="1012"/>
      <c r="C822" s="981"/>
      <c r="D822" s="982"/>
      <c r="E822" s="983"/>
      <c r="F822" s="993"/>
      <c r="G822" s="994"/>
      <c r="H822" s="994"/>
      <c r="I822" s="995"/>
      <c r="J822" s="863" t="s">
        <v>164</v>
      </c>
      <c r="K822" s="975" t="s">
        <v>165</v>
      </c>
      <c r="L822" s="976"/>
      <c r="M822" s="496" t="s">
        <v>140</v>
      </c>
      <c r="N822" s="977">
        <v>27</v>
      </c>
      <c r="O822" s="961"/>
      <c r="P822" s="499">
        <v>27</v>
      </c>
      <c r="Q822" s="499">
        <v>30</v>
      </c>
    </row>
    <row r="823" spans="1:17" ht="12.75" customHeight="1">
      <c r="A823" s="491"/>
      <c r="B823" s="1012"/>
      <c r="C823" s="981"/>
      <c r="D823" s="982"/>
      <c r="E823" s="983"/>
      <c r="F823" s="993"/>
      <c r="G823" s="994"/>
      <c r="H823" s="994"/>
      <c r="I823" s="995"/>
      <c r="J823" s="863" t="s">
        <v>166</v>
      </c>
      <c r="K823" s="975" t="s">
        <v>167</v>
      </c>
      <c r="L823" s="976"/>
      <c r="M823" s="496" t="s">
        <v>140</v>
      </c>
      <c r="N823" s="977">
        <v>29.92</v>
      </c>
      <c r="O823" s="961"/>
      <c r="P823" s="499">
        <v>29.92</v>
      </c>
      <c r="Q823" s="499">
        <v>35</v>
      </c>
    </row>
    <row r="824" spans="1:17" ht="12.75" customHeight="1">
      <c r="A824" s="491"/>
      <c r="B824" s="1012"/>
      <c r="C824" s="981"/>
      <c r="D824" s="982"/>
      <c r="E824" s="983"/>
      <c r="F824" s="993"/>
      <c r="G824" s="994"/>
      <c r="H824" s="994"/>
      <c r="I824" s="995"/>
      <c r="J824" s="863" t="s">
        <v>168</v>
      </c>
      <c r="K824" s="975" t="s">
        <v>169</v>
      </c>
      <c r="L824" s="976"/>
      <c r="M824" s="496" t="s">
        <v>140</v>
      </c>
      <c r="N824" s="977">
        <v>29.92</v>
      </c>
      <c r="O824" s="961"/>
      <c r="P824" s="499">
        <v>29.92</v>
      </c>
      <c r="Q824" s="499">
        <v>35</v>
      </c>
    </row>
    <row r="825" spans="1:17" ht="12.75" customHeight="1">
      <c r="A825" s="491"/>
      <c r="B825" s="1012"/>
      <c r="C825" s="981"/>
      <c r="D825" s="982"/>
      <c r="E825" s="983"/>
      <c r="F825" s="990"/>
      <c r="G825" s="991"/>
      <c r="H825" s="991"/>
      <c r="I825" s="992"/>
      <c r="J825" s="867" t="s">
        <v>141</v>
      </c>
      <c r="K825" s="958" t="s">
        <v>140</v>
      </c>
      <c r="L825" s="959"/>
      <c r="M825" s="500" t="s">
        <v>140</v>
      </c>
      <c r="N825" s="960" t="s">
        <v>140</v>
      </c>
      <c r="O825" s="961"/>
      <c r="P825" s="498" t="s">
        <v>140</v>
      </c>
      <c r="Q825" s="498" t="s">
        <v>140</v>
      </c>
    </row>
    <row r="826" spans="1:17" ht="12.75" customHeight="1">
      <c r="A826" s="491"/>
      <c r="B826" s="1012"/>
      <c r="C826" s="981"/>
      <c r="D826" s="982"/>
      <c r="E826" s="983"/>
      <c r="F826" s="987" t="s">
        <v>294</v>
      </c>
      <c r="G826" s="988"/>
      <c r="H826" s="988"/>
      <c r="I826" s="989"/>
      <c r="J826" s="863" t="s">
        <v>231</v>
      </c>
      <c r="K826" s="975" t="s">
        <v>232</v>
      </c>
      <c r="L826" s="976"/>
      <c r="M826" s="496" t="s">
        <v>140</v>
      </c>
      <c r="N826" s="977">
        <v>85.33</v>
      </c>
      <c r="O826" s="961"/>
      <c r="P826" s="499">
        <v>85.33</v>
      </c>
      <c r="Q826" s="499">
        <v>95</v>
      </c>
    </row>
    <row r="827" spans="1:17" ht="12.75" customHeight="1">
      <c r="A827" s="491"/>
      <c r="B827" s="1012"/>
      <c r="C827" s="981"/>
      <c r="D827" s="982"/>
      <c r="E827" s="983"/>
      <c r="F827" s="993"/>
      <c r="G827" s="994"/>
      <c r="H827" s="994"/>
      <c r="I827" s="995"/>
      <c r="J827" s="863" t="s">
        <v>158</v>
      </c>
      <c r="K827" s="975" t="s">
        <v>159</v>
      </c>
      <c r="L827" s="976"/>
      <c r="M827" s="496" t="s">
        <v>140</v>
      </c>
      <c r="N827" s="977">
        <v>86.1</v>
      </c>
      <c r="O827" s="961"/>
      <c r="P827" s="499">
        <v>86.1</v>
      </c>
      <c r="Q827" s="499">
        <v>95</v>
      </c>
    </row>
    <row r="828" spans="1:17" ht="12.75" customHeight="1">
      <c r="A828" s="491"/>
      <c r="B828" s="1012"/>
      <c r="C828" s="981"/>
      <c r="D828" s="982"/>
      <c r="E828" s="983"/>
      <c r="F828" s="993"/>
      <c r="G828" s="994"/>
      <c r="H828" s="994"/>
      <c r="I828" s="995"/>
      <c r="J828" s="863" t="s">
        <v>258</v>
      </c>
      <c r="K828" s="975" t="s">
        <v>259</v>
      </c>
      <c r="L828" s="976"/>
      <c r="M828" s="496" t="s">
        <v>140</v>
      </c>
      <c r="N828" s="977">
        <v>62.45</v>
      </c>
      <c r="O828" s="961"/>
      <c r="P828" s="499">
        <v>62.45</v>
      </c>
      <c r="Q828" s="499">
        <v>69</v>
      </c>
    </row>
    <row r="829" spans="1:17" ht="12.75" customHeight="1">
      <c r="A829" s="491"/>
      <c r="B829" s="1012"/>
      <c r="C829" s="981"/>
      <c r="D829" s="982"/>
      <c r="E829" s="983"/>
      <c r="F829" s="990"/>
      <c r="G829" s="991"/>
      <c r="H829" s="991"/>
      <c r="I829" s="992"/>
      <c r="J829" s="867" t="s">
        <v>141</v>
      </c>
      <c r="K829" s="958" t="s">
        <v>140</v>
      </c>
      <c r="L829" s="959"/>
      <c r="M829" s="500" t="s">
        <v>140</v>
      </c>
      <c r="N829" s="960" t="s">
        <v>140</v>
      </c>
      <c r="O829" s="961"/>
      <c r="P829" s="498" t="s">
        <v>140</v>
      </c>
      <c r="Q829" s="498" t="s">
        <v>140</v>
      </c>
    </row>
    <row r="830" spans="1:17" ht="12.75" customHeight="1">
      <c r="A830" s="491"/>
      <c r="B830" s="1012"/>
      <c r="C830" s="981"/>
      <c r="D830" s="982"/>
      <c r="E830" s="983"/>
      <c r="F830" s="987" t="s">
        <v>295</v>
      </c>
      <c r="G830" s="988"/>
      <c r="H830" s="988"/>
      <c r="I830" s="989"/>
      <c r="J830" s="863" t="s">
        <v>162</v>
      </c>
      <c r="K830" s="975" t="s">
        <v>163</v>
      </c>
      <c r="L830" s="976"/>
      <c r="M830" s="496" t="s">
        <v>140</v>
      </c>
      <c r="N830" s="977">
        <v>27.3</v>
      </c>
      <c r="O830" s="961"/>
      <c r="P830" s="499">
        <v>27.3</v>
      </c>
      <c r="Q830" s="499">
        <v>32</v>
      </c>
    </row>
    <row r="831" spans="1:17" ht="12.75" customHeight="1">
      <c r="A831" s="491"/>
      <c r="B831" s="1012"/>
      <c r="C831" s="981"/>
      <c r="D831" s="982"/>
      <c r="E831" s="983"/>
      <c r="F831" s="993"/>
      <c r="G831" s="994"/>
      <c r="H831" s="994"/>
      <c r="I831" s="995"/>
      <c r="J831" s="863" t="s">
        <v>164</v>
      </c>
      <c r="K831" s="975" t="s">
        <v>165</v>
      </c>
      <c r="L831" s="976"/>
      <c r="M831" s="496" t="s">
        <v>140</v>
      </c>
      <c r="N831" s="977">
        <v>27.3</v>
      </c>
      <c r="O831" s="961"/>
      <c r="P831" s="499">
        <v>27.3</v>
      </c>
      <c r="Q831" s="499">
        <v>32</v>
      </c>
    </row>
    <row r="832" spans="1:17" ht="12.75" customHeight="1">
      <c r="A832" s="491"/>
      <c r="B832" s="1012"/>
      <c r="C832" s="981"/>
      <c r="D832" s="982"/>
      <c r="E832" s="983"/>
      <c r="F832" s="993"/>
      <c r="G832" s="994"/>
      <c r="H832" s="994"/>
      <c r="I832" s="995"/>
      <c r="J832" s="863" t="s">
        <v>166</v>
      </c>
      <c r="K832" s="975" t="s">
        <v>167</v>
      </c>
      <c r="L832" s="976"/>
      <c r="M832" s="496" t="s">
        <v>140</v>
      </c>
      <c r="N832" s="977">
        <v>29.92</v>
      </c>
      <c r="O832" s="961"/>
      <c r="P832" s="499">
        <v>29.92</v>
      </c>
      <c r="Q832" s="499">
        <v>36</v>
      </c>
    </row>
    <row r="833" spans="1:17" ht="12.75" customHeight="1">
      <c r="A833" s="491"/>
      <c r="B833" s="1012"/>
      <c r="C833" s="981"/>
      <c r="D833" s="982"/>
      <c r="E833" s="983"/>
      <c r="F833" s="993"/>
      <c r="G833" s="994"/>
      <c r="H833" s="994"/>
      <c r="I833" s="995"/>
      <c r="J833" s="863" t="s">
        <v>168</v>
      </c>
      <c r="K833" s="975" t="s">
        <v>169</v>
      </c>
      <c r="L833" s="976"/>
      <c r="M833" s="496" t="s">
        <v>140</v>
      </c>
      <c r="N833" s="977">
        <v>29.92</v>
      </c>
      <c r="O833" s="961"/>
      <c r="P833" s="499">
        <v>29.92</v>
      </c>
      <c r="Q833" s="499">
        <v>36</v>
      </c>
    </row>
    <row r="834" spans="1:17" ht="12.75" customHeight="1">
      <c r="A834" s="491"/>
      <c r="B834" s="1012"/>
      <c r="C834" s="981"/>
      <c r="D834" s="982"/>
      <c r="E834" s="983"/>
      <c r="F834" s="990"/>
      <c r="G834" s="991"/>
      <c r="H834" s="991"/>
      <c r="I834" s="992"/>
      <c r="J834" s="867" t="s">
        <v>141</v>
      </c>
      <c r="K834" s="958" t="s">
        <v>140</v>
      </c>
      <c r="L834" s="959"/>
      <c r="M834" s="500" t="s">
        <v>140</v>
      </c>
      <c r="N834" s="960" t="s">
        <v>140</v>
      </c>
      <c r="O834" s="961"/>
      <c r="P834" s="498" t="s">
        <v>140</v>
      </c>
      <c r="Q834" s="498" t="s">
        <v>140</v>
      </c>
    </row>
    <row r="835" spans="1:17" ht="12.75" customHeight="1">
      <c r="A835" s="491"/>
      <c r="B835" s="1012"/>
      <c r="C835" s="981"/>
      <c r="D835" s="982"/>
      <c r="E835" s="983"/>
      <c r="F835" s="987" t="s">
        <v>296</v>
      </c>
      <c r="G835" s="988"/>
      <c r="H835" s="988"/>
      <c r="I835" s="989"/>
      <c r="J835" s="863" t="s">
        <v>162</v>
      </c>
      <c r="K835" s="975" t="s">
        <v>163</v>
      </c>
      <c r="L835" s="976"/>
      <c r="M835" s="496" t="s">
        <v>140</v>
      </c>
      <c r="N835" s="977">
        <v>26</v>
      </c>
      <c r="O835" s="961"/>
      <c r="P835" s="499">
        <v>26</v>
      </c>
      <c r="Q835" s="499">
        <v>26</v>
      </c>
    </row>
    <row r="836" spans="1:17" ht="12.75" customHeight="1">
      <c r="A836" s="491"/>
      <c r="B836" s="1012"/>
      <c r="C836" s="981"/>
      <c r="D836" s="982"/>
      <c r="E836" s="983"/>
      <c r="F836" s="993"/>
      <c r="G836" s="994"/>
      <c r="H836" s="994"/>
      <c r="I836" s="995"/>
      <c r="J836" s="863" t="s">
        <v>164</v>
      </c>
      <c r="K836" s="975" t="s">
        <v>165</v>
      </c>
      <c r="L836" s="976"/>
      <c r="M836" s="496" t="s">
        <v>140</v>
      </c>
      <c r="N836" s="977">
        <v>26</v>
      </c>
      <c r="O836" s="961"/>
      <c r="P836" s="499">
        <v>26</v>
      </c>
      <c r="Q836" s="499">
        <v>26</v>
      </c>
    </row>
    <row r="837" spans="1:17" ht="12.75" customHeight="1">
      <c r="A837" s="491"/>
      <c r="B837" s="1012"/>
      <c r="C837" s="981"/>
      <c r="D837" s="982"/>
      <c r="E837" s="983"/>
      <c r="F837" s="993"/>
      <c r="G837" s="994"/>
      <c r="H837" s="994"/>
      <c r="I837" s="995"/>
      <c r="J837" s="863" t="s">
        <v>178</v>
      </c>
      <c r="K837" s="975" t="s">
        <v>179</v>
      </c>
      <c r="L837" s="976"/>
      <c r="M837" s="496" t="s">
        <v>140</v>
      </c>
      <c r="N837" s="977">
        <v>62.47</v>
      </c>
      <c r="O837" s="961"/>
      <c r="P837" s="499">
        <v>62.47</v>
      </c>
      <c r="Q837" s="499">
        <v>62.47</v>
      </c>
    </row>
    <row r="838" spans="1:17" ht="12.75" customHeight="1">
      <c r="A838" s="491"/>
      <c r="B838" s="1012"/>
      <c r="C838" s="981"/>
      <c r="D838" s="982"/>
      <c r="E838" s="983"/>
      <c r="F838" s="993"/>
      <c r="G838" s="994"/>
      <c r="H838" s="994"/>
      <c r="I838" s="995"/>
      <c r="J838" s="863" t="s">
        <v>166</v>
      </c>
      <c r="K838" s="975" t="s">
        <v>167</v>
      </c>
      <c r="L838" s="976"/>
      <c r="M838" s="496" t="s">
        <v>140</v>
      </c>
      <c r="N838" s="977">
        <v>27</v>
      </c>
      <c r="O838" s="961"/>
      <c r="P838" s="499">
        <v>27</v>
      </c>
      <c r="Q838" s="499">
        <v>27</v>
      </c>
    </row>
    <row r="839" spans="1:17" ht="12.75" customHeight="1">
      <c r="A839" s="491"/>
      <c r="B839" s="1012"/>
      <c r="C839" s="981"/>
      <c r="D839" s="982"/>
      <c r="E839" s="983"/>
      <c r="F839" s="993"/>
      <c r="G839" s="994"/>
      <c r="H839" s="994"/>
      <c r="I839" s="995"/>
      <c r="J839" s="863" t="s">
        <v>168</v>
      </c>
      <c r="K839" s="975" t="s">
        <v>169</v>
      </c>
      <c r="L839" s="976"/>
      <c r="M839" s="496" t="s">
        <v>140</v>
      </c>
      <c r="N839" s="977">
        <v>27</v>
      </c>
      <c r="O839" s="961"/>
      <c r="P839" s="499">
        <v>27</v>
      </c>
      <c r="Q839" s="499">
        <v>27</v>
      </c>
    </row>
    <row r="840" spans="1:17" ht="12.75" customHeight="1">
      <c r="A840" s="491"/>
      <c r="B840" s="1012"/>
      <c r="C840" s="981"/>
      <c r="D840" s="982"/>
      <c r="E840" s="983"/>
      <c r="F840" s="990"/>
      <c r="G840" s="991"/>
      <c r="H840" s="991"/>
      <c r="I840" s="992"/>
      <c r="J840" s="867" t="s">
        <v>141</v>
      </c>
      <c r="K840" s="958" t="s">
        <v>140</v>
      </c>
      <c r="L840" s="959"/>
      <c r="M840" s="500" t="s">
        <v>140</v>
      </c>
      <c r="N840" s="960" t="s">
        <v>140</v>
      </c>
      <c r="O840" s="961"/>
      <c r="P840" s="498" t="s">
        <v>140</v>
      </c>
      <c r="Q840" s="498" t="s">
        <v>140</v>
      </c>
    </row>
    <row r="841" spans="1:17" ht="12.75" customHeight="1">
      <c r="A841" s="491"/>
      <c r="B841" s="1012"/>
      <c r="C841" s="981"/>
      <c r="D841" s="982"/>
      <c r="E841" s="983"/>
      <c r="F841" s="987" t="s">
        <v>297</v>
      </c>
      <c r="G841" s="988"/>
      <c r="H841" s="988"/>
      <c r="I841" s="989"/>
      <c r="J841" s="863" t="s">
        <v>162</v>
      </c>
      <c r="K841" s="975" t="s">
        <v>163</v>
      </c>
      <c r="L841" s="976"/>
      <c r="M841" s="496" t="s">
        <v>140</v>
      </c>
      <c r="N841" s="977">
        <v>27.3</v>
      </c>
      <c r="O841" s="961"/>
      <c r="P841" s="499">
        <v>27.3</v>
      </c>
      <c r="Q841" s="499">
        <v>27.3</v>
      </c>
    </row>
    <row r="842" spans="1:17" ht="12.75" customHeight="1">
      <c r="A842" s="491"/>
      <c r="B842" s="1012"/>
      <c r="C842" s="981"/>
      <c r="D842" s="982"/>
      <c r="E842" s="983"/>
      <c r="F842" s="993"/>
      <c r="G842" s="994"/>
      <c r="H842" s="994"/>
      <c r="I842" s="995"/>
      <c r="J842" s="863" t="s">
        <v>164</v>
      </c>
      <c r="K842" s="975" t="s">
        <v>165</v>
      </c>
      <c r="L842" s="976"/>
      <c r="M842" s="496" t="s">
        <v>140</v>
      </c>
      <c r="N842" s="977">
        <v>27.3</v>
      </c>
      <c r="O842" s="961"/>
      <c r="P842" s="499">
        <v>27.3</v>
      </c>
      <c r="Q842" s="499">
        <v>27.3</v>
      </c>
    </row>
    <row r="843" spans="1:17" ht="12.75" customHeight="1">
      <c r="A843" s="491"/>
      <c r="B843" s="1012"/>
      <c r="C843" s="981"/>
      <c r="D843" s="982"/>
      <c r="E843" s="983"/>
      <c r="F843" s="993"/>
      <c r="G843" s="994"/>
      <c r="H843" s="994"/>
      <c r="I843" s="995"/>
      <c r="J843" s="863" t="s">
        <v>166</v>
      </c>
      <c r="K843" s="975" t="s">
        <v>167</v>
      </c>
      <c r="L843" s="976"/>
      <c r="M843" s="496" t="s">
        <v>140</v>
      </c>
      <c r="N843" s="977">
        <v>29.92</v>
      </c>
      <c r="O843" s="961"/>
      <c r="P843" s="499">
        <v>29.92</v>
      </c>
      <c r="Q843" s="499">
        <v>29.92</v>
      </c>
    </row>
    <row r="844" spans="1:17" ht="12.75" customHeight="1">
      <c r="A844" s="491"/>
      <c r="B844" s="1012"/>
      <c r="C844" s="981"/>
      <c r="D844" s="982"/>
      <c r="E844" s="983"/>
      <c r="F844" s="993"/>
      <c r="G844" s="994"/>
      <c r="H844" s="994"/>
      <c r="I844" s="995"/>
      <c r="J844" s="863" t="s">
        <v>168</v>
      </c>
      <c r="K844" s="975" t="s">
        <v>169</v>
      </c>
      <c r="L844" s="976"/>
      <c r="M844" s="496" t="s">
        <v>140</v>
      </c>
      <c r="N844" s="977">
        <v>29.92</v>
      </c>
      <c r="O844" s="961"/>
      <c r="P844" s="499">
        <v>29.92</v>
      </c>
      <c r="Q844" s="499">
        <v>29.92</v>
      </c>
    </row>
    <row r="845" spans="1:17" ht="12.75" customHeight="1">
      <c r="A845" s="491"/>
      <c r="B845" s="1012"/>
      <c r="C845" s="981"/>
      <c r="D845" s="982"/>
      <c r="E845" s="983"/>
      <c r="F845" s="990"/>
      <c r="G845" s="991"/>
      <c r="H845" s="991"/>
      <c r="I845" s="992"/>
      <c r="J845" s="867" t="s">
        <v>141</v>
      </c>
      <c r="K845" s="958" t="s">
        <v>140</v>
      </c>
      <c r="L845" s="959"/>
      <c r="M845" s="500" t="s">
        <v>140</v>
      </c>
      <c r="N845" s="960" t="s">
        <v>140</v>
      </c>
      <c r="O845" s="961"/>
      <c r="P845" s="498" t="s">
        <v>140</v>
      </c>
      <c r="Q845" s="498" t="s">
        <v>140</v>
      </c>
    </row>
    <row r="846" spans="1:17" ht="12.75" customHeight="1">
      <c r="A846" s="491"/>
      <c r="B846" s="1012"/>
      <c r="C846" s="981"/>
      <c r="D846" s="982"/>
      <c r="E846" s="983"/>
      <c r="F846" s="987" t="s">
        <v>298</v>
      </c>
      <c r="G846" s="988"/>
      <c r="H846" s="988"/>
      <c r="I846" s="989"/>
      <c r="J846" s="863" t="s">
        <v>162</v>
      </c>
      <c r="K846" s="975" t="s">
        <v>163</v>
      </c>
      <c r="L846" s="976"/>
      <c r="M846" s="496" t="s">
        <v>140</v>
      </c>
      <c r="N846" s="977">
        <v>27.3</v>
      </c>
      <c r="O846" s="961"/>
      <c r="P846" s="499">
        <v>27.3</v>
      </c>
      <c r="Q846" s="499">
        <v>27.3</v>
      </c>
    </row>
    <row r="847" spans="1:17" ht="12.75" customHeight="1">
      <c r="A847" s="491"/>
      <c r="B847" s="1012"/>
      <c r="C847" s="981"/>
      <c r="D847" s="982"/>
      <c r="E847" s="983"/>
      <c r="F847" s="993"/>
      <c r="G847" s="994"/>
      <c r="H847" s="994"/>
      <c r="I847" s="995"/>
      <c r="J847" s="863" t="s">
        <v>164</v>
      </c>
      <c r="K847" s="975" t="s">
        <v>165</v>
      </c>
      <c r="L847" s="976"/>
      <c r="M847" s="496" t="s">
        <v>140</v>
      </c>
      <c r="N847" s="977">
        <v>27.3</v>
      </c>
      <c r="O847" s="961"/>
      <c r="P847" s="499">
        <v>27.3</v>
      </c>
      <c r="Q847" s="499">
        <v>27.3</v>
      </c>
    </row>
    <row r="848" spans="1:17" ht="12.75" customHeight="1">
      <c r="A848" s="491"/>
      <c r="B848" s="1012"/>
      <c r="C848" s="981"/>
      <c r="D848" s="982"/>
      <c r="E848" s="983"/>
      <c r="F848" s="993"/>
      <c r="G848" s="994"/>
      <c r="H848" s="994"/>
      <c r="I848" s="995"/>
      <c r="J848" s="863" t="s">
        <v>166</v>
      </c>
      <c r="K848" s="975" t="s">
        <v>167</v>
      </c>
      <c r="L848" s="976"/>
      <c r="M848" s="496" t="s">
        <v>140</v>
      </c>
      <c r="N848" s="977">
        <v>29.92</v>
      </c>
      <c r="O848" s="961"/>
      <c r="P848" s="499">
        <v>29.92</v>
      </c>
      <c r="Q848" s="499">
        <v>29.92</v>
      </c>
    </row>
    <row r="849" spans="1:17" ht="12.75" customHeight="1">
      <c r="A849" s="491"/>
      <c r="B849" s="1012"/>
      <c r="C849" s="981"/>
      <c r="D849" s="982"/>
      <c r="E849" s="983"/>
      <c r="F849" s="993"/>
      <c r="G849" s="994"/>
      <c r="H849" s="994"/>
      <c r="I849" s="995"/>
      <c r="J849" s="863" t="s">
        <v>168</v>
      </c>
      <c r="K849" s="975" t="s">
        <v>169</v>
      </c>
      <c r="L849" s="976"/>
      <c r="M849" s="496" t="s">
        <v>140</v>
      </c>
      <c r="N849" s="977">
        <v>29.92</v>
      </c>
      <c r="O849" s="961"/>
      <c r="P849" s="499">
        <v>29.92</v>
      </c>
      <c r="Q849" s="499">
        <v>29.92</v>
      </c>
    </row>
    <row r="850" spans="1:17" ht="12.75" customHeight="1">
      <c r="A850" s="491"/>
      <c r="B850" s="1012"/>
      <c r="C850" s="981"/>
      <c r="D850" s="982"/>
      <c r="E850" s="983"/>
      <c r="F850" s="990"/>
      <c r="G850" s="991"/>
      <c r="H850" s="991"/>
      <c r="I850" s="992"/>
      <c r="J850" s="867" t="s">
        <v>141</v>
      </c>
      <c r="K850" s="958" t="s">
        <v>140</v>
      </c>
      <c r="L850" s="959"/>
      <c r="M850" s="500" t="s">
        <v>140</v>
      </c>
      <c r="N850" s="960" t="s">
        <v>140</v>
      </c>
      <c r="O850" s="961"/>
      <c r="P850" s="498" t="s">
        <v>140</v>
      </c>
      <c r="Q850" s="498" t="s">
        <v>140</v>
      </c>
    </row>
    <row r="851" spans="1:17" ht="12.75" customHeight="1">
      <c r="A851" s="491"/>
      <c r="B851" s="1012"/>
      <c r="C851" s="981"/>
      <c r="D851" s="982"/>
      <c r="E851" s="983"/>
      <c r="F851" s="987" t="s">
        <v>299</v>
      </c>
      <c r="G851" s="988"/>
      <c r="H851" s="988"/>
      <c r="I851" s="989"/>
      <c r="J851" s="863" t="s">
        <v>162</v>
      </c>
      <c r="K851" s="975" t="s">
        <v>163</v>
      </c>
      <c r="L851" s="976"/>
      <c r="M851" s="496" t="s">
        <v>140</v>
      </c>
      <c r="N851" s="977">
        <v>27.3</v>
      </c>
      <c r="O851" s="961"/>
      <c r="P851" s="499">
        <v>27.3</v>
      </c>
      <c r="Q851" s="499">
        <v>27.3</v>
      </c>
    </row>
    <row r="852" spans="1:17" ht="12.75" customHeight="1">
      <c r="A852" s="491"/>
      <c r="B852" s="1012"/>
      <c r="C852" s="981"/>
      <c r="D852" s="982"/>
      <c r="E852" s="983"/>
      <c r="F852" s="993"/>
      <c r="G852" s="994"/>
      <c r="H852" s="994"/>
      <c r="I852" s="995"/>
      <c r="J852" s="863" t="s">
        <v>164</v>
      </c>
      <c r="K852" s="975" t="s">
        <v>165</v>
      </c>
      <c r="L852" s="976"/>
      <c r="M852" s="496" t="s">
        <v>140</v>
      </c>
      <c r="N852" s="977">
        <v>27.3</v>
      </c>
      <c r="O852" s="961"/>
      <c r="P852" s="499">
        <v>27.3</v>
      </c>
      <c r="Q852" s="499">
        <v>27.3</v>
      </c>
    </row>
    <row r="853" spans="1:17" ht="12.75" customHeight="1">
      <c r="A853" s="491"/>
      <c r="B853" s="1012"/>
      <c r="C853" s="981"/>
      <c r="D853" s="982"/>
      <c r="E853" s="983"/>
      <c r="F853" s="993"/>
      <c r="G853" s="994"/>
      <c r="H853" s="994"/>
      <c r="I853" s="995"/>
      <c r="J853" s="863" t="s">
        <v>166</v>
      </c>
      <c r="K853" s="975" t="s">
        <v>167</v>
      </c>
      <c r="L853" s="976"/>
      <c r="M853" s="496" t="s">
        <v>140</v>
      </c>
      <c r="N853" s="977">
        <v>29.92</v>
      </c>
      <c r="O853" s="961"/>
      <c r="P853" s="499">
        <v>29.92</v>
      </c>
      <c r="Q853" s="499">
        <v>29.92</v>
      </c>
    </row>
    <row r="854" spans="1:17" ht="12.75" customHeight="1">
      <c r="A854" s="491"/>
      <c r="B854" s="1012"/>
      <c r="C854" s="981"/>
      <c r="D854" s="982"/>
      <c r="E854" s="983"/>
      <c r="F854" s="993"/>
      <c r="G854" s="994"/>
      <c r="H854" s="994"/>
      <c r="I854" s="995"/>
      <c r="J854" s="863" t="s">
        <v>168</v>
      </c>
      <c r="K854" s="975" t="s">
        <v>169</v>
      </c>
      <c r="L854" s="976"/>
      <c r="M854" s="496" t="s">
        <v>140</v>
      </c>
      <c r="N854" s="977">
        <v>29.92</v>
      </c>
      <c r="O854" s="961"/>
      <c r="P854" s="499">
        <v>29.92</v>
      </c>
      <c r="Q854" s="499">
        <v>29.92</v>
      </c>
    </row>
    <row r="855" spans="1:17" ht="12.75" customHeight="1">
      <c r="A855" s="491"/>
      <c r="B855" s="1012"/>
      <c r="C855" s="981"/>
      <c r="D855" s="982"/>
      <c r="E855" s="983"/>
      <c r="F855" s="990"/>
      <c r="G855" s="991"/>
      <c r="H855" s="991"/>
      <c r="I855" s="992"/>
      <c r="J855" s="867" t="s">
        <v>141</v>
      </c>
      <c r="K855" s="958" t="s">
        <v>140</v>
      </c>
      <c r="L855" s="959"/>
      <c r="M855" s="500" t="s">
        <v>140</v>
      </c>
      <c r="N855" s="960" t="s">
        <v>140</v>
      </c>
      <c r="O855" s="961"/>
      <c r="P855" s="498" t="s">
        <v>140</v>
      </c>
      <c r="Q855" s="498" t="s">
        <v>140</v>
      </c>
    </row>
    <row r="856" spans="1:17" ht="12.75" customHeight="1">
      <c r="A856" s="491"/>
      <c r="B856" s="1012"/>
      <c r="C856" s="981"/>
      <c r="D856" s="982"/>
      <c r="E856" s="983"/>
      <c r="F856" s="987" t="s">
        <v>300</v>
      </c>
      <c r="G856" s="988"/>
      <c r="H856" s="988"/>
      <c r="I856" s="989"/>
      <c r="J856" s="863" t="s">
        <v>213</v>
      </c>
      <c r="K856" s="975" t="s">
        <v>214</v>
      </c>
      <c r="L856" s="976"/>
      <c r="M856" s="496" t="s">
        <v>140</v>
      </c>
      <c r="N856" s="977">
        <v>0</v>
      </c>
      <c r="O856" s="961"/>
      <c r="P856" s="499">
        <v>0</v>
      </c>
      <c r="Q856" s="498" t="s">
        <v>140</v>
      </c>
    </row>
    <row r="857" spans="1:17" ht="12.75" customHeight="1">
      <c r="A857" s="491"/>
      <c r="B857" s="1012"/>
      <c r="C857" s="981"/>
      <c r="D857" s="982"/>
      <c r="E857" s="983"/>
      <c r="F857" s="993"/>
      <c r="G857" s="994"/>
      <c r="H857" s="994"/>
      <c r="I857" s="995"/>
      <c r="J857" s="863" t="s">
        <v>215</v>
      </c>
      <c r="K857" s="975" t="s">
        <v>216</v>
      </c>
      <c r="L857" s="976"/>
      <c r="M857" s="496" t="s">
        <v>140</v>
      </c>
      <c r="N857" s="977">
        <v>0</v>
      </c>
      <c r="O857" s="961"/>
      <c r="P857" s="499">
        <v>0</v>
      </c>
      <c r="Q857" s="498" t="s">
        <v>140</v>
      </c>
    </row>
    <row r="858" spans="1:17" ht="12.75" customHeight="1">
      <c r="A858" s="491"/>
      <c r="B858" s="1012"/>
      <c r="C858" s="981"/>
      <c r="D858" s="982"/>
      <c r="E858" s="983"/>
      <c r="F858" s="993"/>
      <c r="G858" s="994"/>
      <c r="H858" s="994"/>
      <c r="I858" s="995"/>
      <c r="J858" s="863" t="s">
        <v>144</v>
      </c>
      <c r="K858" s="975" t="s">
        <v>145</v>
      </c>
      <c r="L858" s="976"/>
      <c r="M858" s="496" t="s">
        <v>140</v>
      </c>
      <c r="N858" s="977">
        <v>0</v>
      </c>
      <c r="O858" s="961"/>
      <c r="P858" s="499">
        <v>0</v>
      </c>
      <c r="Q858" s="498" t="s">
        <v>140</v>
      </c>
    </row>
    <row r="859" spans="1:17" ht="12.75" customHeight="1">
      <c r="A859" s="491"/>
      <c r="B859" s="1012"/>
      <c r="C859" s="981"/>
      <c r="D859" s="982"/>
      <c r="E859" s="983"/>
      <c r="F859" s="990"/>
      <c r="G859" s="991"/>
      <c r="H859" s="991"/>
      <c r="I859" s="992"/>
      <c r="J859" s="867" t="s">
        <v>141</v>
      </c>
      <c r="K859" s="958" t="s">
        <v>140</v>
      </c>
      <c r="L859" s="959"/>
      <c r="M859" s="500" t="s">
        <v>140</v>
      </c>
      <c r="N859" s="960" t="s">
        <v>140</v>
      </c>
      <c r="O859" s="961"/>
      <c r="P859" s="498" t="s">
        <v>140</v>
      </c>
      <c r="Q859" s="498" t="s">
        <v>140</v>
      </c>
    </row>
    <row r="860" spans="1:17" ht="12.75" customHeight="1">
      <c r="A860" s="491"/>
      <c r="B860" s="1012"/>
      <c r="C860" s="984"/>
      <c r="D860" s="985"/>
      <c r="E860" s="986"/>
      <c r="F860" s="962" t="s">
        <v>140</v>
      </c>
      <c r="G860" s="958"/>
      <c r="H860" s="958"/>
      <c r="I860" s="959"/>
      <c r="J860" s="867" t="s">
        <v>247</v>
      </c>
      <c r="K860" s="958" t="s">
        <v>140</v>
      </c>
      <c r="L860" s="959"/>
      <c r="M860" s="501">
        <v>5650744.1500000004</v>
      </c>
      <c r="N860" s="960" t="s">
        <v>140</v>
      </c>
      <c r="O860" s="961"/>
      <c r="P860" s="498" t="s">
        <v>140</v>
      </c>
      <c r="Q860" s="498" t="s">
        <v>140</v>
      </c>
    </row>
    <row r="861" spans="1:17" ht="12.75" customHeight="1">
      <c r="A861" s="491"/>
      <c r="B861" s="1013"/>
      <c r="C861" s="963" t="s">
        <v>140</v>
      </c>
      <c r="D861" s="964"/>
      <c r="E861" s="965"/>
      <c r="F861" s="962" t="s">
        <v>140</v>
      </c>
      <c r="G861" s="958"/>
      <c r="H861" s="958"/>
      <c r="I861" s="959"/>
      <c r="J861" s="867" t="s">
        <v>301</v>
      </c>
      <c r="K861" s="958" t="s">
        <v>140</v>
      </c>
      <c r="L861" s="959"/>
      <c r="M861" s="501">
        <v>10393412</v>
      </c>
      <c r="N861" s="960" t="s">
        <v>140</v>
      </c>
      <c r="O861" s="961"/>
      <c r="P861" s="498" t="s">
        <v>140</v>
      </c>
      <c r="Q861" s="498" t="s">
        <v>140</v>
      </c>
    </row>
    <row r="864" spans="1:17" ht="15.75">
      <c r="A864" s="22" t="s">
        <v>125</v>
      </c>
      <c r="B864" s="22" t="s">
        <v>350</v>
      </c>
    </row>
    <row r="865" spans="1:17" ht="12.75" customHeight="1">
      <c r="A865" s="491"/>
      <c r="B865" s="492" t="s">
        <v>127</v>
      </c>
      <c r="C865" s="1005" t="s">
        <v>128</v>
      </c>
      <c r="D865" s="1005"/>
      <c r="E865" s="1006"/>
      <c r="F865" s="1007" t="s">
        <v>129</v>
      </c>
      <c r="G865" s="1005"/>
      <c r="H865" s="1005"/>
      <c r="I865" s="1006"/>
      <c r="J865" s="493" t="s">
        <v>130</v>
      </c>
      <c r="K865" s="1005" t="s">
        <v>131</v>
      </c>
      <c r="L865" s="1006"/>
      <c r="M865" s="493" t="s">
        <v>132</v>
      </c>
      <c r="N865" s="1005" t="s">
        <v>133</v>
      </c>
      <c r="O865" s="1006"/>
      <c r="P865" s="493" t="s">
        <v>134</v>
      </c>
      <c r="Q865" s="493" t="s">
        <v>135</v>
      </c>
    </row>
    <row r="866" spans="1:17" ht="12.75" customHeight="1">
      <c r="A866" s="491"/>
      <c r="B866" s="1011">
        <v>5</v>
      </c>
      <c r="C866" s="978" t="s">
        <v>136</v>
      </c>
      <c r="D866" s="979"/>
      <c r="E866" s="980"/>
      <c r="F866" s="987" t="s">
        <v>351</v>
      </c>
      <c r="G866" s="988"/>
      <c r="H866" s="988"/>
      <c r="I866" s="989"/>
      <c r="J866" s="862" t="s">
        <v>352</v>
      </c>
      <c r="K866" s="975" t="s">
        <v>353</v>
      </c>
      <c r="L866" s="976"/>
      <c r="M866" s="494" t="s">
        <v>140</v>
      </c>
      <c r="N866" s="977">
        <v>0</v>
      </c>
      <c r="O866" s="961"/>
      <c r="P866" s="495">
        <v>0</v>
      </c>
      <c r="Q866" s="861" t="s">
        <v>140</v>
      </c>
    </row>
    <row r="867" spans="1:17" ht="12.75" customHeight="1">
      <c r="A867" s="491"/>
      <c r="B867" s="1012"/>
      <c r="C867" s="981"/>
      <c r="D867" s="982"/>
      <c r="E867" s="983"/>
      <c r="F867" s="990"/>
      <c r="G867" s="991"/>
      <c r="H867" s="991"/>
      <c r="I867" s="992"/>
      <c r="J867" s="867" t="s">
        <v>141</v>
      </c>
      <c r="K867" s="958" t="s">
        <v>140</v>
      </c>
      <c r="L867" s="959"/>
      <c r="M867" s="500" t="s">
        <v>140</v>
      </c>
      <c r="N867" s="960" t="s">
        <v>140</v>
      </c>
      <c r="O867" s="961"/>
      <c r="P867" s="498" t="s">
        <v>140</v>
      </c>
      <c r="Q867" s="498" t="s">
        <v>140</v>
      </c>
    </row>
    <row r="868" spans="1:17" ht="12.75" customHeight="1">
      <c r="A868" s="491"/>
      <c r="B868" s="1012"/>
      <c r="C868" s="981"/>
      <c r="D868" s="982"/>
      <c r="E868" s="983"/>
      <c r="F868" s="987" t="s">
        <v>354</v>
      </c>
      <c r="G868" s="988"/>
      <c r="H868" s="988"/>
      <c r="I868" s="989"/>
      <c r="J868" s="863" t="s">
        <v>355</v>
      </c>
      <c r="K868" s="975" t="s">
        <v>356</v>
      </c>
      <c r="L868" s="976"/>
      <c r="M868" s="496" t="s">
        <v>140</v>
      </c>
      <c r="N868" s="977">
        <v>7.77</v>
      </c>
      <c r="O868" s="961"/>
      <c r="P868" s="499">
        <v>7.77</v>
      </c>
      <c r="Q868" s="499">
        <v>7.77</v>
      </c>
    </row>
    <row r="869" spans="1:17" ht="12.75" customHeight="1">
      <c r="A869" s="491"/>
      <c r="B869" s="1012"/>
      <c r="C869" s="981"/>
      <c r="D869" s="982"/>
      <c r="E869" s="983"/>
      <c r="F869" s="990"/>
      <c r="G869" s="991"/>
      <c r="H869" s="991"/>
      <c r="I869" s="992"/>
      <c r="J869" s="867" t="s">
        <v>141</v>
      </c>
      <c r="K869" s="958" t="s">
        <v>140</v>
      </c>
      <c r="L869" s="959"/>
      <c r="M869" s="500" t="s">
        <v>140</v>
      </c>
      <c r="N869" s="960" t="s">
        <v>140</v>
      </c>
      <c r="O869" s="961"/>
      <c r="P869" s="498" t="s">
        <v>140</v>
      </c>
      <c r="Q869" s="498" t="s">
        <v>140</v>
      </c>
    </row>
    <row r="870" spans="1:17" ht="12.75" customHeight="1">
      <c r="A870" s="491"/>
      <c r="B870" s="1012"/>
      <c r="C870" s="981"/>
      <c r="D870" s="982"/>
      <c r="E870" s="983"/>
      <c r="F870" s="987" t="s">
        <v>357</v>
      </c>
      <c r="G870" s="988"/>
      <c r="H870" s="988"/>
      <c r="I870" s="989"/>
      <c r="J870" s="863" t="s">
        <v>358</v>
      </c>
      <c r="K870" s="975" t="s">
        <v>359</v>
      </c>
      <c r="L870" s="976"/>
      <c r="M870" s="496" t="s">
        <v>140</v>
      </c>
      <c r="N870" s="977">
        <v>29.92</v>
      </c>
      <c r="O870" s="961"/>
      <c r="P870" s="499">
        <v>29.92</v>
      </c>
      <c r="Q870" s="499">
        <v>36.9</v>
      </c>
    </row>
    <row r="871" spans="1:17" ht="12.75" customHeight="1">
      <c r="A871" s="491"/>
      <c r="B871" s="1012"/>
      <c r="C871" s="981"/>
      <c r="D871" s="982"/>
      <c r="E871" s="983"/>
      <c r="F871" s="990"/>
      <c r="G871" s="991"/>
      <c r="H871" s="991"/>
      <c r="I871" s="992"/>
      <c r="J871" s="867" t="s">
        <v>141</v>
      </c>
      <c r="K871" s="958" t="s">
        <v>140</v>
      </c>
      <c r="L871" s="959"/>
      <c r="M871" s="500" t="s">
        <v>140</v>
      </c>
      <c r="N871" s="960" t="s">
        <v>140</v>
      </c>
      <c r="O871" s="961"/>
      <c r="P871" s="498" t="s">
        <v>140</v>
      </c>
      <c r="Q871" s="498" t="s">
        <v>140</v>
      </c>
    </row>
    <row r="872" spans="1:17" ht="12.75" customHeight="1">
      <c r="A872" s="491"/>
      <c r="B872" s="1012"/>
      <c r="C872" s="981"/>
      <c r="D872" s="982"/>
      <c r="E872" s="983"/>
      <c r="F872" s="987" t="s">
        <v>360</v>
      </c>
      <c r="G872" s="988"/>
      <c r="H872" s="988"/>
      <c r="I872" s="989"/>
      <c r="J872" s="863" t="s">
        <v>358</v>
      </c>
      <c r="K872" s="975" t="s">
        <v>359</v>
      </c>
      <c r="L872" s="976"/>
      <c r="M872" s="496" t="s">
        <v>140</v>
      </c>
      <c r="N872" s="977">
        <v>29.92</v>
      </c>
      <c r="O872" s="961"/>
      <c r="P872" s="499">
        <v>29.92</v>
      </c>
      <c r="Q872" s="499">
        <v>33.5</v>
      </c>
    </row>
    <row r="873" spans="1:17" ht="12.75" customHeight="1">
      <c r="A873" s="491"/>
      <c r="B873" s="1012"/>
      <c r="C873" s="981"/>
      <c r="D873" s="982"/>
      <c r="E873" s="983"/>
      <c r="F873" s="990"/>
      <c r="G873" s="991"/>
      <c r="H873" s="991"/>
      <c r="I873" s="992"/>
      <c r="J873" s="867" t="s">
        <v>141</v>
      </c>
      <c r="K873" s="958" t="s">
        <v>140</v>
      </c>
      <c r="L873" s="959"/>
      <c r="M873" s="500" t="s">
        <v>140</v>
      </c>
      <c r="N873" s="960" t="s">
        <v>140</v>
      </c>
      <c r="O873" s="961"/>
      <c r="P873" s="498" t="s">
        <v>140</v>
      </c>
      <c r="Q873" s="498" t="s">
        <v>140</v>
      </c>
    </row>
    <row r="874" spans="1:17" ht="12.75" customHeight="1">
      <c r="A874" s="491"/>
      <c r="B874" s="1012"/>
      <c r="C874" s="981"/>
      <c r="D874" s="982"/>
      <c r="E874" s="983"/>
      <c r="F874" s="987" t="s">
        <v>361</v>
      </c>
      <c r="G874" s="988"/>
      <c r="H874" s="988"/>
      <c r="I874" s="989"/>
      <c r="J874" s="863" t="s">
        <v>352</v>
      </c>
      <c r="K874" s="975" t="s">
        <v>353</v>
      </c>
      <c r="L874" s="976"/>
      <c r="M874" s="496" t="s">
        <v>140</v>
      </c>
      <c r="N874" s="977">
        <v>0</v>
      </c>
      <c r="O874" s="961"/>
      <c r="P874" s="499">
        <v>0</v>
      </c>
      <c r="Q874" s="498" t="s">
        <v>140</v>
      </c>
    </row>
    <row r="875" spans="1:17" ht="12.75" customHeight="1">
      <c r="A875" s="491"/>
      <c r="B875" s="1012"/>
      <c r="C875" s="981"/>
      <c r="D875" s="982"/>
      <c r="E875" s="983"/>
      <c r="F875" s="990"/>
      <c r="G875" s="991"/>
      <c r="H875" s="991"/>
      <c r="I875" s="992"/>
      <c r="J875" s="867" t="s">
        <v>141</v>
      </c>
      <c r="K875" s="958" t="s">
        <v>140</v>
      </c>
      <c r="L875" s="959"/>
      <c r="M875" s="500" t="s">
        <v>140</v>
      </c>
      <c r="N875" s="960" t="s">
        <v>140</v>
      </c>
      <c r="O875" s="961"/>
      <c r="P875" s="498" t="s">
        <v>140</v>
      </c>
      <c r="Q875" s="498" t="s">
        <v>140</v>
      </c>
    </row>
    <row r="876" spans="1:17" ht="12.75" customHeight="1">
      <c r="A876" s="491"/>
      <c r="B876" s="1012"/>
      <c r="C876" s="981"/>
      <c r="D876" s="982"/>
      <c r="E876" s="983"/>
      <c r="F876" s="987" t="s">
        <v>362</v>
      </c>
      <c r="G876" s="988"/>
      <c r="H876" s="988"/>
      <c r="I876" s="989"/>
      <c r="J876" s="863" t="s">
        <v>352</v>
      </c>
      <c r="K876" s="975" t="s">
        <v>353</v>
      </c>
      <c r="L876" s="976"/>
      <c r="M876" s="496" t="s">
        <v>140</v>
      </c>
      <c r="N876" s="977">
        <v>0</v>
      </c>
      <c r="O876" s="961"/>
      <c r="P876" s="499">
        <v>0</v>
      </c>
      <c r="Q876" s="498" t="s">
        <v>140</v>
      </c>
    </row>
    <row r="877" spans="1:17" ht="12.75" customHeight="1">
      <c r="A877" s="491"/>
      <c r="B877" s="1012"/>
      <c r="C877" s="981"/>
      <c r="D877" s="982"/>
      <c r="E877" s="983"/>
      <c r="F877" s="990"/>
      <c r="G877" s="991"/>
      <c r="H877" s="991"/>
      <c r="I877" s="992"/>
      <c r="J877" s="867" t="s">
        <v>141</v>
      </c>
      <c r="K877" s="958" t="s">
        <v>140</v>
      </c>
      <c r="L877" s="959"/>
      <c r="M877" s="500" t="s">
        <v>140</v>
      </c>
      <c r="N877" s="960" t="s">
        <v>140</v>
      </c>
      <c r="O877" s="961"/>
      <c r="P877" s="498" t="s">
        <v>140</v>
      </c>
      <c r="Q877" s="498" t="s">
        <v>140</v>
      </c>
    </row>
    <row r="878" spans="1:17" ht="12.75" customHeight="1">
      <c r="A878" s="491"/>
      <c r="B878" s="1012"/>
      <c r="C878" s="981"/>
      <c r="D878" s="982"/>
      <c r="E878" s="983"/>
      <c r="F878" s="987" t="s">
        <v>305</v>
      </c>
      <c r="G878" s="988"/>
      <c r="H878" s="988"/>
      <c r="I878" s="989"/>
      <c r="J878" s="863" t="s">
        <v>358</v>
      </c>
      <c r="K878" s="975" t="s">
        <v>359</v>
      </c>
      <c r="L878" s="976"/>
      <c r="M878" s="496" t="s">
        <v>140</v>
      </c>
      <c r="N878" s="977">
        <v>29.7</v>
      </c>
      <c r="O878" s="961"/>
      <c r="P878" s="499">
        <v>29.7</v>
      </c>
      <c r="Q878" s="499">
        <v>33</v>
      </c>
    </row>
    <row r="879" spans="1:17" ht="12.75" customHeight="1">
      <c r="A879" s="491"/>
      <c r="B879" s="1012"/>
      <c r="C879" s="981"/>
      <c r="D879" s="982"/>
      <c r="E879" s="983"/>
      <c r="F879" s="990"/>
      <c r="G879" s="991"/>
      <c r="H879" s="991"/>
      <c r="I879" s="992"/>
      <c r="J879" s="867" t="s">
        <v>141</v>
      </c>
      <c r="K879" s="958" t="s">
        <v>140</v>
      </c>
      <c r="L879" s="959"/>
      <c r="M879" s="500" t="s">
        <v>140</v>
      </c>
      <c r="N879" s="960" t="s">
        <v>140</v>
      </c>
      <c r="O879" s="961"/>
      <c r="P879" s="498" t="s">
        <v>140</v>
      </c>
      <c r="Q879" s="498" t="s">
        <v>140</v>
      </c>
    </row>
    <row r="880" spans="1:17" ht="12.75" customHeight="1">
      <c r="A880" s="491"/>
      <c r="B880" s="1012"/>
      <c r="C880" s="981"/>
      <c r="D880" s="982"/>
      <c r="E880" s="983"/>
      <c r="F880" s="987" t="s">
        <v>152</v>
      </c>
      <c r="G880" s="988"/>
      <c r="H880" s="988"/>
      <c r="I880" s="989"/>
      <c r="J880" s="863" t="s">
        <v>363</v>
      </c>
      <c r="K880" s="975" t="s">
        <v>364</v>
      </c>
      <c r="L880" s="976"/>
      <c r="M880" s="497">
        <v>374284.3</v>
      </c>
      <c r="N880" s="977">
        <v>160</v>
      </c>
      <c r="O880" s="961"/>
      <c r="P880" s="499">
        <v>160</v>
      </c>
      <c r="Q880" s="499">
        <v>160</v>
      </c>
    </row>
    <row r="881" spans="1:17" ht="12.75" customHeight="1">
      <c r="A881" s="491"/>
      <c r="B881" s="1012"/>
      <c r="C881" s="981"/>
      <c r="D881" s="982"/>
      <c r="E881" s="983"/>
      <c r="F881" s="993"/>
      <c r="G881" s="994"/>
      <c r="H881" s="994"/>
      <c r="I881" s="995"/>
      <c r="J881" s="863" t="s">
        <v>365</v>
      </c>
      <c r="K881" s="975" t="s">
        <v>366</v>
      </c>
      <c r="L881" s="976"/>
      <c r="M881" s="497">
        <v>26199.9</v>
      </c>
      <c r="N881" s="977">
        <v>52.46</v>
      </c>
      <c r="O881" s="961"/>
      <c r="P881" s="499">
        <v>52.46</v>
      </c>
      <c r="Q881" s="499">
        <v>52.46</v>
      </c>
    </row>
    <row r="882" spans="1:17" ht="12.75" customHeight="1">
      <c r="A882" s="491"/>
      <c r="B882" s="1012"/>
      <c r="C882" s="981"/>
      <c r="D882" s="982"/>
      <c r="E882" s="983"/>
      <c r="F882" s="993"/>
      <c r="G882" s="994"/>
      <c r="H882" s="994"/>
      <c r="I882" s="995"/>
      <c r="J882" s="863" t="s">
        <v>367</v>
      </c>
      <c r="K882" s="975" t="s">
        <v>368</v>
      </c>
      <c r="L882" s="976"/>
      <c r="M882" s="497">
        <v>175337.8</v>
      </c>
      <c r="N882" s="977">
        <v>78.92</v>
      </c>
      <c r="O882" s="961"/>
      <c r="P882" s="499">
        <v>78.92</v>
      </c>
      <c r="Q882" s="499">
        <v>78.92</v>
      </c>
    </row>
    <row r="883" spans="1:17" ht="12.75" customHeight="1">
      <c r="A883" s="491"/>
      <c r="B883" s="1012"/>
      <c r="C883" s="981"/>
      <c r="D883" s="982"/>
      <c r="E883" s="983"/>
      <c r="F883" s="993"/>
      <c r="G883" s="994"/>
      <c r="H883" s="994"/>
      <c r="I883" s="995"/>
      <c r="J883" s="863" t="s">
        <v>168</v>
      </c>
      <c r="K883" s="975" t="s">
        <v>169</v>
      </c>
      <c r="L883" s="976"/>
      <c r="M883" s="496" t="s">
        <v>140</v>
      </c>
      <c r="N883" s="977">
        <v>10</v>
      </c>
      <c r="O883" s="961"/>
      <c r="P883" s="499">
        <v>10</v>
      </c>
      <c r="Q883" s="499">
        <v>10</v>
      </c>
    </row>
    <row r="884" spans="1:17" ht="12.75" customHeight="1">
      <c r="A884" s="491"/>
      <c r="B884" s="1012"/>
      <c r="C884" s="981"/>
      <c r="D884" s="982"/>
      <c r="E884" s="983"/>
      <c r="F884" s="993"/>
      <c r="G884" s="994"/>
      <c r="H884" s="994"/>
      <c r="I884" s="995"/>
      <c r="J884" s="863" t="s">
        <v>182</v>
      </c>
      <c r="K884" s="975" t="s">
        <v>183</v>
      </c>
      <c r="L884" s="976"/>
      <c r="M884" s="496" t="s">
        <v>140</v>
      </c>
      <c r="N884" s="977">
        <v>0</v>
      </c>
      <c r="O884" s="961"/>
      <c r="P884" s="499">
        <v>0</v>
      </c>
      <c r="Q884" s="498" t="s">
        <v>140</v>
      </c>
    </row>
    <row r="885" spans="1:17" ht="12.75" customHeight="1">
      <c r="A885" s="491"/>
      <c r="B885" s="1012"/>
      <c r="C885" s="981"/>
      <c r="D885" s="982"/>
      <c r="E885" s="983"/>
      <c r="F885" s="990"/>
      <c r="G885" s="991"/>
      <c r="H885" s="991"/>
      <c r="I885" s="992"/>
      <c r="J885" s="867" t="s">
        <v>141</v>
      </c>
      <c r="K885" s="958" t="s">
        <v>140</v>
      </c>
      <c r="L885" s="959"/>
      <c r="M885" s="501">
        <v>575822</v>
      </c>
      <c r="N885" s="960" t="s">
        <v>140</v>
      </c>
      <c r="O885" s="961"/>
      <c r="P885" s="498" t="s">
        <v>140</v>
      </c>
      <c r="Q885" s="498" t="s">
        <v>140</v>
      </c>
    </row>
    <row r="886" spans="1:17" ht="12.75" customHeight="1">
      <c r="A886" s="491"/>
      <c r="B886" s="1012"/>
      <c r="C886" s="981"/>
      <c r="D886" s="982"/>
      <c r="E886" s="983"/>
      <c r="F886" s="987" t="s">
        <v>307</v>
      </c>
      <c r="G886" s="988"/>
      <c r="H886" s="988"/>
      <c r="I886" s="989"/>
      <c r="J886" s="863" t="s">
        <v>358</v>
      </c>
      <c r="K886" s="975" t="s">
        <v>359</v>
      </c>
      <c r="L886" s="976"/>
      <c r="M886" s="496" t="s">
        <v>140</v>
      </c>
      <c r="N886" s="977">
        <v>29.92</v>
      </c>
      <c r="O886" s="961"/>
      <c r="P886" s="499">
        <v>29.92</v>
      </c>
      <c r="Q886" s="499">
        <v>38</v>
      </c>
    </row>
    <row r="887" spans="1:17" ht="12.75" customHeight="1">
      <c r="A887" s="491"/>
      <c r="B887" s="1012"/>
      <c r="C887" s="981"/>
      <c r="D887" s="982"/>
      <c r="E887" s="983"/>
      <c r="F887" s="990"/>
      <c r="G887" s="991"/>
      <c r="H887" s="991"/>
      <c r="I887" s="992"/>
      <c r="J887" s="867" t="s">
        <v>141</v>
      </c>
      <c r="K887" s="958" t="s">
        <v>140</v>
      </c>
      <c r="L887" s="959"/>
      <c r="M887" s="500" t="s">
        <v>140</v>
      </c>
      <c r="N887" s="960" t="s">
        <v>140</v>
      </c>
      <c r="O887" s="961"/>
      <c r="P887" s="498" t="s">
        <v>140</v>
      </c>
      <c r="Q887" s="498" t="s">
        <v>140</v>
      </c>
    </row>
    <row r="888" spans="1:17" ht="12.75" customHeight="1">
      <c r="A888" s="491"/>
      <c r="B888" s="1012"/>
      <c r="C888" s="981"/>
      <c r="D888" s="982"/>
      <c r="E888" s="983"/>
      <c r="F888" s="987" t="s">
        <v>161</v>
      </c>
      <c r="G888" s="988"/>
      <c r="H888" s="988"/>
      <c r="I888" s="989"/>
      <c r="J888" s="863" t="s">
        <v>358</v>
      </c>
      <c r="K888" s="975" t="s">
        <v>359</v>
      </c>
      <c r="L888" s="976"/>
      <c r="M888" s="496" t="s">
        <v>140</v>
      </c>
      <c r="N888" s="977">
        <v>29.92</v>
      </c>
      <c r="O888" s="961"/>
      <c r="P888" s="499">
        <v>29.92</v>
      </c>
      <c r="Q888" s="499">
        <v>35</v>
      </c>
    </row>
    <row r="889" spans="1:17" ht="12.75" customHeight="1">
      <c r="A889" s="491"/>
      <c r="B889" s="1012"/>
      <c r="C889" s="981"/>
      <c r="D889" s="982"/>
      <c r="E889" s="983"/>
      <c r="F889" s="990"/>
      <c r="G889" s="991"/>
      <c r="H889" s="991"/>
      <c r="I889" s="992"/>
      <c r="J889" s="867" t="s">
        <v>141</v>
      </c>
      <c r="K889" s="958" t="s">
        <v>140</v>
      </c>
      <c r="L889" s="959"/>
      <c r="M889" s="500" t="s">
        <v>140</v>
      </c>
      <c r="N889" s="960" t="s">
        <v>140</v>
      </c>
      <c r="O889" s="961"/>
      <c r="P889" s="498" t="s">
        <v>140</v>
      </c>
      <c r="Q889" s="498" t="s">
        <v>140</v>
      </c>
    </row>
    <row r="890" spans="1:17" ht="12.75" customHeight="1">
      <c r="A890" s="491"/>
      <c r="B890" s="1012"/>
      <c r="C890" s="981"/>
      <c r="D890" s="982"/>
      <c r="E890" s="983"/>
      <c r="F890" s="987" t="s">
        <v>313</v>
      </c>
      <c r="G890" s="988"/>
      <c r="H890" s="988"/>
      <c r="I890" s="989"/>
      <c r="J890" s="863" t="s">
        <v>358</v>
      </c>
      <c r="K890" s="975" t="s">
        <v>359</v>
      </c>
      <c r="L890" s="976"/>
      <c r="M890" s="496" t="s">
        <v>140</v>
      </c>
      <c r="N890" s="977">
        <v>29.75</v>
      </c>
      <c r="O890" s="961"/>
      <c r="P890" s="499">
        <v>29.75</v>
      </c>
      <c r="Q890" s="499">
        <v>35</v>
      </c>
    </row>
    <row r="891" spans="1:17" ht="12.75" customHeight="1">
      <c r="A891" s="491"/>
      <c r="B891" s="1012"/>
      <c r="C891" s="981"/>
      <c r="D891" s="982"/>
      <c r="E891" s="983"/>
      <c r="F891" s="990"/>
      <c r="G891" s="991"/>
      <c r="H891" s="991"/>
      <c r="I891" s="992"/>
      <c r="J891" s="867" t="s">
        <v>141</v>
      </c>
      <c r="K891" s="958" t="s">
        <v>140</v>
      </c>
      <c r="L891" s="959"/>
      <c r="M891" s="500" t="s">
        <v>140</v>
      </c>
      <c r="N891" s="960" t="s">
        <v>140</v>
      </c>
      <c r="O891" s="961"/>
      <c r="P891" s="498" t="s">
        <v>140</v>
      </c>
      <c r="Q891" s="498" t="s">
        <v>140</v>
      </c>
    </row>
    <row r="892" spans="1:17" ht="12.75" customHeight="1">
      <c r="A892" s="491"/>
      <c r="B892" s="1012"/>
      <c r="C892" s="981"/>
      <c r="D892" s="982"/>
      <c r="E892" s="983"/>
      <c r="F892" s="987" t="s">
        <v>314</v>
      </c>
      <c r="G892" s="988"/>
      <c r="H892" s="988"/>
      <c r="I892" s="989"/>
      <c r="J892" s="863" t="s">
        <v>358</v>
      </c>
      <c r="K892" s="975" t="s">
        <v>359</v>
      </c>
      <c r="L892" s="976"/>
      <c r="M892" s="496" t="s">
        <v>140</v>
      </c>
      <c r="N892" s="977">
        <v>29.92</v>
      </c>
      <c r="O892" s="961"/>
      <c r="P892" s="499">
        <v>29.92</v>
      </c>
      <c r="Q892" s="499">
        <v>34</v>
      </c>
    </row>
    <row r="893" spans="1:17" ht="12.75" customHeight="1">
      <c r="A893" s="491"/>
      <c r="B893" s="1012"/>
      <c r="C893" s="981"/>
      <c r="D893" s="982"/>
      <c r="E893" s="983"/>
      <c r="F893" s="990"/>
      <c r="G893" s="991"/>
      <c r="H893" s="991"/>
      <c r="I893" s="992"/>
      <c r="J893" s="867" t="s">
        <v>141</v>
      </c>
      <c r="K893" s="958" t="s">
        <v>140</v>
      </c>
      <c r="L893" s="959"/>
      <c r="M893" s="500" t="s">
        <v>140</v>
      </c>
      <c r="N893" s="960" t="s">
        <v>140</v>
      </c>
      <c r="O893" s="961"/>
      <c r="P893" s="498" t="s">
        <v>140</v>
      </c>
      <c r="Q893" s="498" t="s">
        <v>140</v>
      </c>
    </row>
    <row r="894" spans="1:17" ht="12.75" customHeight="1">
      <c r="A894" s="491"/>
      <c r="B894" s="1012"/>
      <c r="C894" s="981"/>
      <c r="D894" s="982"/>
      <c r="E894" s="983"/>
      <c r="F894" s="987" t="s">
        <v>170</v>
      </c>
      <c r="G894" s="988"/>
      <c r="H894" s="988"/>
      <c r="I894" s="989"/>
      <c r="J894" s="863" t="s">
        <v>358</v>
      </c>
      <c r="K894" s="975" t="s">
        <v>359</v>
      </c>
      <c r="L894" s="976"/>
      <c r="M894" s="496" t="s">
        <v>140</v>
      </c>
      <c r="N894" s="977">
        <v>29.92</v>
      </c>
      <c r="O894" s="961"/>
      <c r="P894" s="499">
        <v>29.92</v>
      </c>
      <c r="Q894" s="499">
        <v>36</v>
      </c>
    </row>
    <row r="895" spans="1:17" ht="12.75" customHeight="1">
      <c r="A895" s="491"/>
      <c r="B895" s="1012"/>
      <c r="C895" s="981"/>
      <c r="D895" s="982"/>
      <c r="E895" s="983"/>
      <c r="F895" s="990"/>
      <c r="G895" s="991"/>
      <c r="H895" s="991"/>
      <c r="I895" s="992"/>
      <c r="J895" s="867" t="s">
        <v>141</v>
      </c>
      <c r="K895" s="958" t="s">
        <v>140</v>
      </c>
      <c r="L895" s="959"/>
      <c r="M895" s="500" t="s">
        <v>140</v>
      </c>
      <c r="N895" s="960" t="s">
        <v>140</v>
      </c>
      <c r="O895" s="961"/>
      <c r="P895" s="498" t="s">
        <v>140</v>
      </c>
      <c r="Q895" s="498" t="s">
        <v>140</v>
      </c>
    </row>
    <row r="896" spans="1:17" ht="12.75" customHeight="1">
      <c r="A896" s="491"/>
      <c r="B896" s="1012"/>
      <c r="C896" s="981"/>
      <c r="D896" s="982"/>
      <c r="E896" s="983"/>
      <c r="F896" s="987" t="s">
        <v>315</v>
      </c>
      <c r="G896" s="988"/>
      <c r="H896" s="988"/>
      <c r="I896" s="989"/>
      <c r="J896" s="863" t="s">
        <v>358</v>
      </c>
      <c r="K896" s="975" t="s">
        <v>359</v>
      </c>
      <c r="L896" s="976"/>
      <c r="M896" s="496" t="s">
        <v>140</v>
      </c>
      <c r="N896" s="977">
        <v>29</v>
      </c>
      <c r="O896" s="961"/>
      <c r="P896" s="499">
        <v>29</v>
      </c>
      <c r="Q896" s="499">
        <v>35</v>
      </c>
    </row>
    <row r="897" spans="1:17" ht="12.75" customHeight="1">
      <c r="A897" s="491"/>
      <c r="B897" s="1012"/>
      <c r="C897" s="981"/>
      <c r="D897" s="982"/>
      <c r="E897" s="983"/>
      <c r="F897" s="990"/>
      <c r="G897" s="991"/>
      <c r="H897" s="991"/>
      <c r="I897" s="992"/>
      <c r="J897" s="867" t="s">
        <v>141</v>
      </c>
      <c r="K897" s="958" t="s">
        <v>140</v>
      </c>
      <c r="L897" s="959"/>
      <c r="M897" s="500" t="s">
        <v>140</v>
      </c>
      <c r="N897" s="960" t="s">
        <v>140</v>
      </c>
      <c r="O897" s="961"/>
      <c r="P897" s="498" t="s">
        <v>140</v>
      </c>
      <c r="Q897" s="498" t="s">
        <v>140</v>
      </c>
    </row>
    <row r="898" spans="1:17" ht="12.75" customHeight="1">
      <c r="A898" s="491"/>
      <c r="B898" s="1012"/>
      <c r="C898" s="981"/>
      <c r="D898" s="982"/>
      <c r="E898" s="983"/>
      <c r="F898" s="987" t="s">
        <v>316</v>
      </c>
      <c r="G898" s="988"/>
      <c r="H898" s="988"/>
      <c r="I898" s="989"/>
      <c r="J898" s="863" t="s">
        <v>358</v>
      </c>
      <c r="K898" s="975" t="s">
        <v>359</v>
      </c>
      <c r="L898" s="976"/>
      <c r="M898" s="496" t="s">
        <v>140</v>
      </c>
      <c r="N898" s="977">
        <v>26</v>
      </c>
      <c r="O898" s="961"/>
      <c r="P898" s="499">
        <v>26</v>
      </c>
      <c r="Q898" s="499">
        <v>29</v>
      </c>
    </row>
    <row r="899" spans="1:17" ht="12.75" customHeight="1">
      <c r="A899" s="491"/>
      <c r="B899" s="1012"/>
      <c r="C899" s="981"/>
      <c r="D899" s="982"/>
      <c r="E899" s="983"/>
      <c r="F899" s="990"/>
      <c r="G899" s="991"/>
      <c r="H899" s="991"/>
      <c r="I899" s="992"/>
      <c r="J899" s="867" t="s">
        <v>141</v>
      </c>
      <c r="K899" s="958" t="s">
        <v>140</v>
      </c>
      <c r="L899" s="959"/>
      <c r="M899" s="500" t="s">
        <v>140</v>
      </c>
      <c r="N899" s="960" t="s">
        <v>140</v>
      </c>
      <c r="O899" s="961"/>
      <c r="P899" s="498" t="s">
        <v>140</v>
      </c>
      <c r="Q899" s="498" t="s">
        <v>140</v>
      </c>
    </row>
    <row r="900" spans="1:17" ht="12.75" customHeight="1">
      <c r="A900" s="491"/>
      <c r="B900" s="1012"/>
      <c r="C900" s="981"/>
      <c r="D900" s="982"/>
      <c r="E900" s="983"/>
      <c r="F900" s="987" t="s">
        <v>317</v>
      </c>
      <c r="G900" s="988"/>
      <c r="H900" s="988"/>
      <c r="I900" s="989"/>
      <c r="J900" s="863" t="s">
        <v>358</v>
      </c>
      <c r="K900" s="975" t="s">
        <v>359</v>
      </c>
      <c r="L900" s="976"/>
      <c r="M900" s="496" t="s">
        <v>140</v>
      </c>
      <c r="N900" s="977">
        <v>29.92</v>
      </c>
      <c r="O900" s="961"/>
      <c r="P900" s="499">
        <v>29.92</v>
      </c>
      <c r="Q900" s="499">
        <v>50</v>
      </c>
    </row>
    <row r="901" spans="1:17" ht="12.75" customHeight="1">
      <c r="A901" s="491"/>
      <c r="B901" s="1012"/>
      <c r="C901" s="981"/>
      <c r="D901" s="982"/>
      <c r="E901" s="983"/>
      <c r="F901" s="990"/>
      <c r="G901" s="991"/>
      <c r="H901" s="991"/>
      <c r="I901" s="992"/>
      <c r="J901" s="867" t="s">
        <v>141</v>
      </c>
      <c r="K901" s="958" t="s">
        <v>140</v>
      </c>
      <c r="L901" s="959"/>
      <c r="M901" s="500" t="s">
        <v>140</v>
      </c>
      <c r="N901" s="960" t="s">
        <v>140</v>
      </c>
      <c r="O901" s="961"/>
      <c r="P901" s="498" t="s">
        <v>140</v>
      </c>
      <c r="Q901" s="498" t="s">
        <v>140</v>
      </c>
    </row>
    <row r="902" spans="1:17" ht="12.75" customHeight="1">
      <c r="A902" s="491"/>
      <c r="B902" s="1012"/>
      <c r="C902" s="981"/>
      <c r="D902" s="982"/>
      <c r="E902" s="983"/>
      <c r="F902" s="987" t="s">
        <v>202</v>
      </c>
      <c r="G902" s="988"/>
      <c r="H902" s="988"/>
      <c r="I902" s="989"/>
      <c r="J902" s="863" t="s">
        <v>358</v>
      </c>
      <c r="K902" s="975" t="s">
        <v>359</v>
      </c>
      <c r="L902" s="976"/>
      <c r="M902" s="496" t="s">
        <v>140</v>
      </c>
      <c r="N902" s="977">
        <v>29.92</v>
      </c>
      <c r="O902" s="961"/>
      <c r="P902" s="499">
        <v>29.92</v>
      </c>
      <c r="Q902" s="499">
        <v>37</v>
      </c>
    </row>
    <row r="903" spans="1:17" ht="12.75" customHeight="1">
      <c r="A903" s="491"/>
      <c r="B903" s="1012"/>
      <c r="C903" s="981"/>
      <c r="D903" s="982"/>
      <c r="E903" s="983"/>
      <c r="F903" s="990"/>
      <c r="G903" s="991"/>
      <c r="H903" s="991"/>
      <c r="I903" s="992"/>
      <c r="J903" s="867" t="s">
        <v>141</v>
      </c>
      <c r="K903" s="958" t="s">
        <v>140</v>
      </c>
      <c r="L903" s="959"/>
      <c r="M903" s="500" t="s">
        <v>140</v>
      </c>
      <c r="N903" s="960" t="s">
        <v>140</v>
      </c>
      <c r="O903" s="961"/>
      <c r="P903" s="498" t="s">
        <v>140</v>
      </c>
      <c r="Q903" s="498" t="s">
        <v>140</v>
      </c>
    </row>
    <row r="904" spans="1:17" ht="12.75" customHeight="1">
      <c r="A904" s="491"/>
      <c r="B904" s="1012"/>
      <c r="C904" s="981"/>
      <c r="D904" s="982"/>
      <c r="E904" s="983"/>
      <c r="F904" s="987" t="s">
        <v>229</v>
      </c>
      <c r="G904" s="988"/>
      <c r="H904" s="988"/>
      <c r="I904" s="989"/>
      <c r="J904" s="863" t="s">
        <v>355</v>
      </c>
      <c r="K904" s="975" t="s">
        <v>356</v>
      </c>
      <c r="L904" s="976"/>
      <c r="M904" s="496" t="s">
        <v>140</v>
      </c>
      <c r="N904" s="977">
        <v>7.9</v>
      </c>
      <c r="O904" s="961"/>
      <c r="P904" s="499">
        <v>7.9</v>
      </c>
      <c r="Q904" s="499">
        <v>14.95</v>
      </c>
    </row>
    <row r="905" spans="1:17" ht="12.75" customHeight="1">
      <c r="A905" s="491"/>
      <c r="B905" s="1012"/>
      <c r="C905" s="981"/>
      <c r="D905" s="982"/>
      <c r="E905" s="983"/>
      <c r="F905" s="990"/>
      <c r="G905" s="991"/>
      <c r="H905" s="991"/>
      <c r="I905" s="992"/>
      <c r="J905" s="867" t="s">
        <v>141</v>
      </c>
      <c r="K905" s="958" t="s">
        <v>140</v>
      </c>
      <c r="L905" s="959"/>
      <c r="M905" s="500" t="s">
        <v>140</v>
      </c>
      <c r="N905" s="960" t="s">
        <v>140</v>
      </c>
      <c r="O905" s="961"/>
      <c r="P905" s="498" t="s">
        <v>140</v>
      </c>
      <c r="Q905" s="498" t="s">
        <v>140</v>
      </c>
    </row>
    <row r="906" spans="1:17" ht="12.75" customHeight="1">
      <c r="A906" s="491"/>
      <c r="B906" s="1012"/>
      <c r="C906" s="981"/>
      <c r="D906" s="982"/>
      <c r="E906" s="983"/>
      <c r="F906" s="987" t="s">
        <v>237</v>
      </c>
      <c r="G906" s="988"/>
      <c r="H906" s="988"/>
      <c r="I906" s="989"/>
      <c r="J906" s="863" t="s">
        <v>358</v>
      </c>
      <c r="K906" s="975" t="s">
        <v>359</v>
      </c>
      <c r="L906" s="976"/>
      <c r="M906" s="496" t="s">
        <v>140</v>
      </c>
      <c r="N906" s="977">
        <v>29.92</v>
      </c>
      <c r="O906" s="961"/>
      <c r="P906" s="499">
        <v>29.92</v>
      </c>
      <c r="Q906" s="499">
        <v>39</v>
      </c>
    </row>
    <row r="907" spans="1:17" ht="12.75" customHeight="1">
      <c r="A907" s="491"/>
      <c r="B907" s="1012"/>
      <c r="C907" s="981"/>
      <c r="D907" s="982"/>
      <c r="E907" s="983"/>
      <c r="F907" s="990"/>
      <c r="G907" s="991"/>
      <c r="H907" s="991"/>
      <c r="I907" s="992"/>
      <c r="J907" s="867" t="s">
        <v>141</v>
      </c>
      <c r="K907" s="958" t="s">
        <v>140</v>
      </c>
      <c r="L907" s="959"/>
      <c r="M907" s="500" t="s">
        <v>140</v>
      </c>
      <c r="N907" s="960" t="s">
        <v>140</v>
      </c>
      <c r="O907" s="961"/>
      <c r="P907" s="498" t="s">
        <v>140</v>
      </c>
      <c r="Q907" s="498" t="s">
        <v>140</v>
      </c>
    </row>
    <row r="908" spans="1:17" ht="12.75" customHeight="1">
      <c r="A908" s="491"/>
      <c r="B908" s="1012"/>
      <c r="C908" s="981"/>
      <c r="D908" s="982"/>
      <c r="E908" s="983"/>
      <c r="F908" s="987" t="s">
        <v>238</v>
      </c>
      <c r="G908" s="988"/>
      <c r="H908" s="988"/>
      <c r="I908" s="989"/>
      <c r="J908" s="863" t="s">
        <v>358</v>
      </c>
      <c r="K908" s="975" t="s">
        <v>359</v>
      </c>
      <c r="L908" s="976"/>
      <c r="M908" s="496" t="s">
        <v>140</v>
      </c>
      <c r="N908" s="977">
        <v>29.7</v>
      </c>
      <c r="O908" s="961"/>
      <c r="P908" s="499">
        <v>29.7</v>
      </c>
      <c r="Q908" s="499">
        <v>33</v>
      </c>
    </row>
    <row r="909" spans="1:17" ht="12.75" customHeight="1">
      <c r="A909" s="491"/>
      <c r="B909" s="1012"/>
      <c r="C909" s="981"/>
      <c r="D909" s="982"/>
      <c r="E909" s="983"/>
      <c r="F909" s="990"/>
      <c r="G909" s="991"/>
      <c r="H909" s="991"/>
      <c r="I909" s="992"/>
      <c r="J909" s="867" t="s">
        <v>141</v>
      </c>
      <c r="K909" s="958" t="s">
        <v>140</v>
      </c>
      <c r="L909" s="959"/>
      <c r="M909" s="500" t="s">
        <v>140</v>
      </c>
      <c r="N909" s="960" t="s">
        <v>140</v>
      </c>
      <c r="O909" s="961"/>
      <c r="P909" s="498" t="s">
        <v>140</v>
      </c>
      <c r="Q909" s="498" t="s">
        <v>140</v>
      </c>
    </row>
    <row r="910" spans="1:17" ht="12.75" customHeight="1">
      <c r="A910" s="491"/>
      <c r="B910" s="1012"/>
      <c r="C910" s="981"/>
      <c r="D910" s="982"/>
      <c r="E910" s="983"/>
      <c r="F910" s="987" t="s">
        <v>239</v>
      </c>
      <c r="G910" s="988"/>
      <c r="H910" s="988"/>
      <c r="I910" s="989"/>
      <c r="J910" s="863" t="s">
        <v>358</v>
      </c>
      <c r="K910" s="975" t="s">
        <v>359</v>
      </c>
      <c r="L910" s="976"/>
      <c r="M910" s="496" t="s">
        <v>140</v>
      </c>
      <c r="N910" s="977">
        <v>28</v>
      </c>
      <c r="O910" s="961"/>
      <c r="P910" s="499">
        <v>28</v>
      </c>
      <c r="Q910" s="499">
        <v>31.11</v>
      </c>
    </row>
    <row r="911" spans="1:17" ht="12.75" customHeight="1">
      <c r="A911" s="491"/>
      <c r="B911" s="1012"/>
      <c r="C911" s="981"/>
      <c r="D911" s="982"/>
      <c r="E911" s="983"/>
      <c r="F911" s="990"/>
      <c r="G911" s="991"/>
      <c r="H911" s="991"/>
      <c r="I911" s="992"/>
      <c r="J911" s="867" t="s">
        <v>141</v>
      </c>
      <c r="K911" s="958" t="s">
        <v>140</v>
      </c>
      <c r="L911" s="959"/>
      <c r="M911" s="500" t="s">
        <v>140</v>
      </c>
      <c r="N911" s="960" t="s">
        <v>140</v>
      </c>
      <c r="O911" s="961"/>
      <c r="P911" s="498" t="s">
        <v>140</v>
      </c>
      <c r="Q911" s="498" t="s">
        <v>140</v>
      </c>
    </row>
    <row r="912" spans="1:17" ht="12.75" customHeight="1">
      <c r="A912" s="491"/>
      <c r="B912" s="1012"/>
      <c r="C912" s="981"/>
      <c r="D912" s="982"/>
      <c r="E912" s="983"/>
      <c r="F912" s="987" t="s">
        <v>240</v>
      </c>
      <c r="G912" s="988"/>
      <c r="H912" s="988"/>
      <c r="I912" s="989"/>
      <c r="J912" s="863" t="s">
        <v>358</v>
      </c>
      <c r="K912" s="975" t="s">
        <v>359</v>
      </c>
      <c r="L912" s="976"/>
      <c r="M912" s="496" t="s">
        <v>140</v>
      </c>
      <c r="N912" s="977">
        <v>27.58</v>
      </c>
      <c r="O912" s="961"/>
      <c r="P912" s="499">
        <v>27.58</v>
      </c>
      <c r="Q912" s="499">
        <v>31</v>
      </c>
    </row>
    <row r="913" spans="1:17" ht="12.75" customHeight="1">
      <c r="A913" s="491"/>
      <c r="B913" s="1012"/>
      <c r="C913" s="981"/>
      <c r="D913" s="982"/>
      <c r="E913" s="983"/>
      <c r="F913" s="990"/>
      <c r="G913" s="991"/>
      <c r="H913" s="991"/>
      <c r="I913" s="992"/>
      <c r="J913" s="867" t="s">
        <v>141</v>
      </c>
      <c r="K913" s="958" t="s">
        <v>140</v>
      </c>
      <c r="L913" s="959"/>
      <c r="M913" s="500" t="s">
        <v>140</v>
      </c>
      <c r="N913" s="960" t="s">
        <v>140</v>
      </c>
      <c r="O913" s="961"/>
      <c r="P913" s="498" t="s">
        <v>140</v>
      </c>
      <c r="Q913" s="498" t="s">
        <v>140</v>
      </c>
    </row>
    <row r="914" spans="1:17" ht="12.75" customHeight="1">
      <c r="A914" s="491"/>
      <c r="B914" s="1012"/>
      <c r="C914" s="981"/>
      <c r="D914" s="982"/>
      <c r="E914" s="983"/>
      <c r="F914" s="987" t="s">
        <v>241</v>
      </c>
      <c r="G914" s="988"/>
      <c r="H914" s="988"/>
      <c r="I914" s="989"/>
      <c r="J914" s="863" t="s">
        <v>358</v>
      </c>
      <c r="K914" s="975" t="s">
        <v>359</v>
      </c>
      <c r="L914" s="976"/>
      <c r="M914" s="496" t="s">
        <v>140</v>
      </c>
      <c r="N914" s="977">
        <v>29.92</v>
      </c>
      <c r="O914" s="961"/>
      <c r="P914" s="499">
        <v>29.92</v>
      </c>
      <c r="Q914" s="499">
        <v>35</v>
      </c>
    </row>
    <row r="915" spans="1:17" ht="12.75" customHeight="1">
      <c r="A915" s="491"/>
      <c r="B915" s="1012"/>
      <c r="C915" s="981"/>
      <c r="D915" s="982"/>
      <c r="E915" s="983"/>
      <c r="F915" s="990"/>
      <c r="G915" s="991"/>
      <c r="H915" s="991"/>
      <c r="I915" s="992"/>
      <c r="J915" s="867" t="s">
        <v>141</v>
      </c>
      <c r="K915" s="958" t="s">
        <v>140</v>
      </c>
      <c r="L915" s="959"/>
      <c r="M915" s="500" t="s">
        <v>140</v>
      </c>
      <c r="N915" s="960" t="s">
        <v>140</v>
      </c>
      <c r="O915" s="961"/>
      <c r="P915" s="498" t="s">
        <v>140</v>
      </c>
      <c r="Q915" s="498" t="s">
        <v>140</v>
      </c>
    </row>
    <row r="916" spans="1:17" ht="12.75" customHeight="1">
      <c r="A916" s="491"/>
      <c r="B916" s="1012"/>
      <c r="C916" s="984"/>
      <c r="D916" s="985"/>
      <c r="E916" s="986"/>
      <c r="F916" s="962" t="s">
        <v>140</v>
      </c>
      <c r="G916" s="958"/>
      <c r="H916" s="958"/>
      <c r="I916" s="959"/>
      <c r="J916" s="867" t="s">
        <v>247</v>
      </c>
      <c r="K916" s="958" t="s">
        <v>140</v>
      </c>
      <c r="L916" s="959"/>
      <c r="M916" s="501">
        <v>575822</v>
      </c>
      <c r="N916" s="960" t="s">
        <v>140</v>
      </c>
      <c r="O916" s="961"/>
      <c r="P916" s="498" t="s">
        <v>140</v>
      </c>
      <c r="Q916" s="498" t="s">
        <v>140</v>
      </c>
    </row>
    <row r="917" spans="1:17" ht="12.75" customHeight="1">
      <c r="A917" s="491"/>
      <c r="B917" s="1012"/>
      <c r="C917" s="978" t="s">
        <v>248</v>
      </c>
      <c r="D917" s="979"/>
      <c r="E917" s="980"/>
      <c r="F917" s="987" t="s">
        <v>329</v>
      </c>
      <c r="G917" s="988"/>
      <c r="H917" s="988"/>
      <c r="I917" s="989"/>
      <c r="J917" s="863" t="s">
        <v>358</v>
      </c>
      <c r="K917" s="975" t="s">
        <v>359</v>
      </c>
      <c r="L917" s="976"/>
      <c r="M917" s="496" t="s">
        <v>140</v>
      </c>
      <c r="N917" s="977">
        <v>29.92</v>
      </c>
      <c r="O917" s="961"/>
      <c r="P917" s="499">
        <v>29.92</v>
      </c>
      <c r="Q917" s="499">
        <v>35</v>
      </c>
    </row>
    <row r="918" spans="1:17" ht="12.75" customHeight="1">
      <c r="A918" s="491"/>
      <c r="B918" s="1012"/>
      <c r="C918" s="981"/>
      <c r="D918" s="982"/>
      <c r="E918" s="983"/>
      <c r="F918" s="990"/>
      <c r="G918" s="991"/>
      <c r="H918" s="991"/>
      <c r="I918" s="992"/>
      <c r="J918" s="867" t="s">
        <v>141</v>
      </c>
      <c r="K918" s="958" t="s">
        <v>140</v>
      </c>
      <c r="L918" s="959"/>
      <c r="M918" s="500" t="s">
        <v>140</v>
      </c>
      <c r="N918" s="960" t="s">
        <v>140</v>
      </c>
      <c r="O918" s="961"/>
      <c r="P918" s="498" t="s">
        <v>140</v>
      </c>
      <c r="Q918" s="498" t="s">
        <v>140</v>
      </c>
    </row>
    <row r="919" spans="1:17" ht="12.75" customHeight="1">
      <c r="A919" s="491"/>
      <c r="B919" s="1012"/>
      <c r="C919" s="981"/>
      <c r="D919" s="982"/>
      <c r="E919" s="983"/>
      <c r="F919" s="987" t="s">
        <v>332</v>
      </c>
      <c r="G919" s="988"/>
      <c r="H919" s="988"/>
      <c r="I919" s="989"/>
      <c r="J919" s="863" t="s">
        <v>358</v>
      </c>
      <c r="K919" s="975" t="s">
        <v>359</v>
      </c>
      <c r="L919" s="976"/>
      <c r="M919" s="496" t="s">
        <v>140</v>
      </c>
      <c r="N919" s="977">
        <v>29.7</v>
      </c>
      <c r="O919" s="961"/>
      <c r="P919" s="499">
        <v>29.7</v>
      </c>
      <c r="Q919" s="499">
        <v>33</v>
      </c>
    </row>
    <row r="920" spans="1:17" ht="12.75" customHeight="1">
      <c r="A920" s="491"/>
      <c r="B920" s="1012"/>
      <c r="C920" s="981"/>
      <c r="D920" s="982"/>
      <c r="E920" s="983"/>
      <c r="F920" s="990"/>
      <c r="G920" s="991"/>
      <c r="H920" s="991"/>
      <c r="I920" s="992"/>
      <c r="J920" s="867" t="s">
        <v>141</v>
      </c>
      <c r="K920" s="958" t="s">
        <v>140</v>
      </c>
      <c r="L920" s="959"/>
      <c r="M920" s="500" t="s">
        <v>140</v>
      </c>
      <c r="N920" s="960" t="s">
        <v>140</v>
      </c>
      <c r="O920" s="961"/>
      <c r="P920" s="498" t="s">
        <v>140</v>
      </c>
      <c r="Q920" s="498" t="s">
        <v>140</v>
      </c>
    </row>
    <row r="921" spans="1:17" ht="12.75" customHeight="1">
      <c r="A921" s="491"/>
      <c r="B921" s="1012"/>
      <c r="C921" s="981"/>
      <c r="D921" s="982"/>
      <c r="E921" s="983"/>
      <c r="F921" s="987" t="s">
        <v>338</v>
      </c>
      <c r="G921" s="988"/>
      <c r="H921" s="988"/>
      <c r="I921" s="989"/>
      <c r="J921" s="863" t="s">
        <v>358</v>
      </c>
      <c r="K921" s="975" t="s">
        <v>359</v>
      </c>
      <c r="L921" s="976"/>
      <c r="M921" s="496" t="s">
        <v>140</v>
      </c>
      <c r="N921" s="977">
        <v>29.92</v>
      </c>
      <c r="O921" s="961"/>
      <c r="P921" s="499">
        <v>29.92</v>
      </c>
      <c r="Q921" s="499">
        <v>35</v>
      </c>
    </row>
    <row r="922" spans="1:17" ht="12.75" customHeight="1">
      <c r="A922" s="491"/>
      <c r="B922" s="1012"/>
      <c r="C922" s="981"/>
      <c r="D922" s="982"/>
      <c r="E922" s="983"/>
      <c r="F922" s="990"/>
      <c r="G922" s="991"/>
      <c r="H922" s="991"/>
      <c r="I922" s="992"/>
      <c r="J922" s="867" t="s">
        <v>141</v>
      </c>
      <c r="K922" s="958" t="s">
        <v>140</v>
      </c>
      <c r="L922" s="959"/>
      <c r="M922" s="500" t="s">
        <v>140</v>
      </c>
      <c r="N922" s="960" t="s">
        <v>140</v>
      </c>
      <c r="O922" s="961"/>
      <c r="P922" s="498" t="s">
        <v>140</v>
      </c>
      <c r="Q922" s="498" t="s">
        <v>140</v>
      </c>
    </row>
    <row r="923" spans="1:17" ht="12.75" customHeight="1">
      <c r="A923" s="491"/>
      <c r="B923" s="1012"/>
      <c r="C923" s="981"/>
      <c r="D923" s="982"/>
      <c r="E923" s="983"/>
      <c r="F923" s="987" t="s">
        <v>339</v>
      </c>
      <c r="G923" s="988"/>
      <c r="H923" s="988"/>
      <c r="I923" s="989"/>
      <c r="J923" s="863" t="s">
        <v>358</v>
      </c>
      <c r="K923" s="975" t="s">
        <v>359</v>
      </c>
      <c r="L923" s="976"/>
      <c r="M923" s="496" t="s">
        <v>140</v>
      </c>
      <c r="N923" s="977">
        <v>29.92</v>
      </c>
      <c r="O923" s="961"/>
      <c r="P923" s="499">
        <v>29.92</v>
      </c>
      <c r="Q923" s="499">
        <v>34</v>
      </c>
    </row>
    <row r="924" spans="1:17" ht="12.75" customHeight="1">
      <c r="A924" s="491"/>
      <c r="B924" s="1012"/>
      <c r="C924" s="981"/>
      <c r="D924" s="982"/>
      <c r="E924" s="983"/>
      <c r="F924" s="990"/>
      <c r="G924" s="991"/>
      <c r="H924" s="991"/>
      <c r="I924" s="992"/>
      <c r="J924" s="867" t="s">
        <v>141</v>
      </c>
      <c r="K924" s="958" t="s">
        <v>140</v>
      </c>
      <c r="L924" s="959"/>
      <c r="M924" s="500" t="s">
        <v>140</v>
      </c>
      <c r="N924" s="960" t="s">
        <v>140</v>
      </c>
      <c r="O924" s="961"/>
      <c r="P924" s="498" t="s">
        <v>140</v>
      </c>
      <c r="Q924" s="498" t="s">
        <v>140</v>
      </c>
    </row>
    <row r="925" spans="1:17" ht="12.75" customHeight="1">
      <c r="A925" s="491"/>
      <c r="B925" s="1012"/>
      <c r="C925" s="981"/>
      <c r="D925" s="982"/>
      <c r="E925" s="983"/>
      <c r="F925" s="987" t="s">
        <v>340</v>
      </c>
      <c r="G925" s="988"/>
      <c r="H925" s="988"/>
      <c r="I925" s="989"/>
      <c r="J925" s="863" t="s">
        <v>358</v>
      </c>
      <c r="K925" s="975" t="s">
        <v>359</v>
      </c>
      <c r="L925" s="976"/>
      <c r="M925" s="496" t="s">
        <v>140</v>
      </c>
      <c r="N925" s="977">
        <v>29</v>
      </c>
      <c r="O925" s="961"/>
      <c r="P925" s="499">
        <v>29</v>
      </c>
      <c r="Q925" s="499">
        <v>35</v>
      </c>
    </row>
    <row r="926" spans="1:17" ht="12.75" customHeight="1">
      <c r="A926" s="491"/>
      <c r="B926" s="1012"/>
      <c r="C926" s="981"/>
      <c r="D926" s="982"/>
      <c r="E926" s="983"/>
      <c r="F926" s="990"/>
      <c r="G926" s="991"/>
      <c r="H926" s="991"/>
      <c r="I926" s="992"/>
      <c r="J926" s="867" t="s">
        <v>141</v>
      </c>
      <c r="K926" s="958" t="s">
        <v>140</v>
      </c>
      <c r="L926" s="959"/>
      <c r="M926" s="500" t="s">
        <v>140</v>
      </c>
      <c r="N926" s="960" t="s">
        <v>140</v>
      </c>
      <c r="O926" s="961"/>
      <c r="P926" s="498" t="s">
        <v>140</v>
      </c>
      <c r="Q926" s="498" t="s">
        <v>140</v>
      </c>
    </row>
    <row r="927" spans="1:17" ht="12.75" customHeight="1">
      <c r="A927" s="491"/>
      <c r="B927" s="1012"/>
      <c r="C927" s="981"/>
      <c r="D927" s="982"/>
      <c r="E927" s="983"/>
      <c r="F927" s="987" t="s">
        <v>341</v>
      </c>
      <c r="G927" s="988"/>
      <c r="H927" s="988"/>
      <c r="I927" s="989"/>
      <c r="J927" s="863" t="s">
        <v>358</v>
      </c>
      <c r="K927" s="975" t="s">
        <v>359</v>
      </c>
      <c r="L927" s="976"/>
      <c r="M927" s="496" t="s">
        <v>140</v>
      </c>
      <c r="N927" s="977">
        <v>26</v>
      </c>
      <c r="O927" s="961"/>
      <c r="P927" s="499">
        <v>26</v>
      </c>
      <c r="Q927" s="499">
        <v>29</v>
      </c>
    </row>
    <row r="928" spans="1:17" ht="12.75" customHeight="1">
      <c r="A928" s="491"/>
      <c r="B928" s="1012"/>
      <c r="C928" s="981"/>
      <c r="D928" s="982"/>
      <c r="E928" s="983"/>
      <c r="F928" s="990"/>
      <c r="G928" s="991"/>
      <c r="H928" s="991"/>
      <c r="I928" s="992"/>
      <c r="J928" s="867" t="s">
        <v>141</v>
      </c>
      <c r="K928" s="958" t="s">
        <v>140</v>
      </c>
      <c r="L928" s="959"/>
      <c r="M928" s="500" t="s">
        <v>140</v>
      </c>
      <c r="N928" s="960" t="s">
        <v>140</v>
      </c>
      <c r="O928" s="961"/>
      <c r="P928" s="498" t="s">
        <v>140</v>
      </c>
      <c r="Q928" s="498" t="s">
        <v>140</v>
      </c>
    </row>
    <row r="929" spans="1:17" ht="12.75" customHeight="1">
      <c r="A929" s="491"/>
      <c r="B929" s="1012"/>
      <c r="C929" s="981"/>
      <c r="D929" s="982"/>
      <c r="E929" s="983"/>
      <c r="F929" s="987" t="s">
        <v>342</v>
      </c>
      <c r="G929" s="988"/>
      <c r="H929" s="988"/>
      <c r="I929" s="989"/>
      <c r="J929" s="863" t="s">
        <v>358</v>
      </c>
      <c r="K929" s="975" t="s">
        <v>359</v>
      </c>
      <c r="L929" s="976"/>
      <c r="M929" s="496" t="s">
        <v>140</v>
      </c>
      <c r="N929" s="977">
        <v>29.92</v>
      </c>
      <c r="O929" s="961"/>
      <c r="P929" s="499">
        <v>29.92</v>
      </c>
      <c r="Q929" s="499">
        <v>38</v>
      </c>
    </row>
    <row r="930" spans="1:17" ht="12.75" customHeight="1">
      <c r="A930" s="491"/>
      <c r="B930" s="1012"/>
      <c r="C930" s="981"/>
      <c r="D930" s="982"/>
      <c r="E930" s="983"/>
      <c r="F930" s="990"/>
      <c r="G930" s="991"/>
      <c r="H930" s="991"/>
      <c r="I930" s="992"/>
      <c r="J930" s="867" t="s">
        <v>141</v>
      </c>
      <c r="K930" s="958" t="s">
        <v>140</v>
      </c>
      <c r="L930" s="959"/>
      <c r="M930" s="500" t="s">
        <v>140</v>
      </c>
      <c r="N930" s="960" t="s">
        <v>140</v>
      </c>
      <c r="O930" s="961"/>
      <c r="P930" s="498" t="s">
        <v>140</v>
      </c>
      <c r="Q930" s="498" t="s">
        <v>140</v>
      </c>
    </row>
    <row r="931" spans="1:17" ht="12.75" customHeight="1">
      <c r="A931" s="491"/>
      <c r="B931" s="1012"/>
      <c r="C931" s="981"/>
      <c r="D931" s="982"/>
      <c r="E931" s="983"/>
      <c r="F931" s="987" t="s">
        <v>369</v>
      </c>
      <c r="G931" s="988"/>
      <c r="H931" s="988"/>
      <c r="I931" s="989"/>
      <c r="J931" s="863" t="s">
        <v>358</v>
      </c>
      <c r="K931" s="975" t="s">
        <v>359</v>
      </c>
      <c r="L931" s="976"/>
      <c r="M931" s="496" t="s">
        <v>140</v>
      </c>
      <c r="N931" s="977">
        <v>29.92</v>
      </c>
      <c r="O931" s="961"/>
      <c r="P931" s="499">
        <v>29.92</v>
      </c>
      <c r="Q931" s="499">
        <v>37</v>
      </c>
    </row>
    <row r="932" spans="1:17" ht="12.75" customHeight="1">
      <c r="A932" s="491"/>
      <c r="B932" s="1012"/>
      <c r="C932" s="981"/>
      <c r="D932" s="982"/>
      <c r="E932" s="983"/>
      <c r="F932" s="990"/>
      <c r="G932" s="991"/>
      <c r="H932" s="991"/>
      <c r="I932" s="992"/>
      <c r="J932" s="867" t="s">
        <v>141</v>
      </c>
      <c r="K932" s="958" t="s">
        <v>140</v>
      </c>
      <c r="L932" s="959"/>
      <c r="M932" s="500" t="s">
        <v>140</v>
      </c>
      <c r="N932" s="960" t="s">
        <v>140</v>
      </c>
      <c r="O932" s="961"/>
      <c r="P932" s="498" t="s">
        <v>140</v>
      </c>
      <c r="Q932" s="498" t="s">
        <v>140</v>
      </c>
    </row>
    <row r="933" spans="1:17" ht="12.75" customHeight="1">
      <c r="A933" s="491"/>
      <c r="B933" s="1012"/>
      <c r="C933" s="981"/>
      <c r="D933" s="982"/>
      <c r="E933" s="983"/>
      <c r="F933" s="987" t="s">
        <v>370</v>
      </c>
      <c r="G933" s="988"/>
      <c r="H933" s="988"/>
      <c r="I933" s="989"/>
      <c r="J933" s="863" t="s">
        <v>363</v>
      </c>
      <c r="K933" s="975" t="s">
        <v>364</v>
      </c>
      <c r="L933" s="976"/>
      <c r="M933" s="497">
        <v>345493.2</v>
      </c>
      <c r="N933" s="977">
        <v>160</v>
      </c>
      <c r="O933" s="961"/>
      <c r="P933" s="499">
        <v>160</v>
      </c>
      <c r="Q933" s="499">
        <v>160</v>
      </c>
    </row>
    <row r="934" spans="1:17" ht="12.75" customHeight="1">
      <c r="A934" s="491"/>
      <c r="B934" s="1012"/>
      <c r="C934" s="981"/>
      <c r="D934" s="982"/>
      <c r="E934" s="983"/>
      <c r="F934" s="993"/>
      <c r="G934" s="994"/>
      <c r="H934" s="994"/>
      <c r="I934" s="995"/>
      <c r="J934" s="863" t="s">
        <v>365</v>
      </c>
      <c r="K934" s="975" t="s">
        <v>366</v>
      </c>
      <c r="L934" s="976"/>
      <c r="M934" s="497">
        <v>39155.9</v>
      </c>
      <c r="N934" s="977">
        <v>52.43</v>
      </c>
      <c r="O934" s="961"/>
      <c r="P934" s="499">
        <v>52.43</v>
      </c>
      <c r="Q934" s="499">
        <v>52.43</v>
      </c>
    </row>
    <row r="935" spans="1:17" ht="12.75" customHeight="1">
      <c r="A935" s="491"/>
      <c r="B935" s="1012"/>
      <c r="C935" s="981"/>
      <c r="D935" s="982"/>
      <c r="E935" s="983"/>
      <c r="F935" s="993"/>
      <c r="G935" s="994"/>
      <c r="H935" s="994"/>
      <c r="I935" s="995"/>
      <c r="J935" s="863" t="s">
        <v>367</v>
      </c>
      <c r="K935" s="975" t="s">
        <v>368</v>
      </c>
      <c r="L935" s="976"/>
      <c r="M935" s="497">
        <v>191172.9</v>
      </c>
      <c r="N935" s="977">
        <v>78.900000000000006</v>
      </c>
      <c r="O935" s="961"/>
      <c r="P935" s="499">
        <v>78.900000000000006</v>
      </c>
      <c r="Q935" s="499">
        <v>78.900000000000006</v>
      </c>
    </row>
    <row r="936" spans="1:17" ht="12.75" customHeight="1">
      <c r="A936" s="491"/>
      <c r="B936" s="1012"/>
      <c r="C936" s="981"/>
      <c r="D936" s="982"/>
      <c r="E936" s="983"/>
      <c r="F936" s="993"/>
      <c r="G936" s="994"/>
      <c r="H936" s="994"/>
      <c r="I936" s="995"/>
      <c r="J936" s="863" t="s">
        <v>168</v>
      </c>
      <c r="K936" s="975" t="s">
        <v>169</v>
      </c>
      <c r="L936" s="976"/>
      <c r="M936" s="496" t="s">
        <v>140</v>
      </c>
      <c r="N936" s="977">
        <v>10</v>
      </c>
      <c r="O936" s="961"/>
      <c r="P936" s="499">
        <v>10</v>
      </c>
      <c r="Q936" s="499">
        <v>10</v>
      </c>
    </row>
    <row r="937" spans="1:17" ht="12.75" customHeight="1">
      <c r="A937" s="491"/>
      <c r="B937" s="1012"/>
      <c r="C937" s="981"/>
      <c r="D937" s="982"/>
      <c r="E937" s="983"/>
      <c r="F937" s="993"/>
      <c r="G937" s="994"/>
      <c r="H937" s="994"/>
      <c r="I937" s="995"/>
      <c r="J937" s="863" t="s">
        <v>182</v>
      </c>
      <c r="K937" s="975" t="s">
        <v>183</v>
      </c>
      <c r="L937" s="976"/>
      <c r="M937" s="496" t="s">
        <v>140</v>
      </c>
      <c r="N937" s="977">
        <v>0</v>
      </c>
      <c r="O937" s="961"/>
      <c r="P937" s="499">
        <v>0</v>
      </c>
      <c r="Q937" s="498" t="s">
        <v>140</v>
      </c>
    </row>
    <row r="938" spans="1:17" ht="12.75" customHeight="1">
      <c r="A938" s="491"/>
      <c r="B938" s="1012"/>
      <c r="C938" s="981"/>
      <c r="D938" s="982"/>
      <c r="E938" s="983"/>
      <c r="F938" s="990"/>
      <c r="G938" s="991"/>
      <c r="H938" s="991"/>
      <c r="I938" s="992"/>
      <c r="J938" s="867" t="s">
        <v>141</v>
      </c>
      <c r="K938" s="958" t="s">
        <v>140</v>
      </c>
      <c r="L938" s="959"/>
      <c r="M938" s="501">
        <v>575822</v>
      </c>
      <c r="N938" s="960" t="s">
        <v>140</v>
      </c>
      <c r="O938" s="961"/>
      <c r="P938" s="498" t="s">
        <v>140</v>
      </c>
      <c r="Q938" s="498" t="s">
        <v>140</v>
      </c>
    </row>
    <row r="939" spans="1:17" ht="12.75" customHeight="1">
      <c r="A939" s="491"/>
      <c r="B939" s="1012"/>
      <c r="C939" s="981"/>
      <c r="D939" s="982"/>
      <c r="E939" s="983"/>
      <c r="F939" s="987" t="s">
        <v>371</v>
      </c>
      <c r="G939" s="988"/>
      <c r="H939" s="988"/>
      <c r="I939" s="989"/>
      <c r="J939" s="863" t="s">
        <v>352</v>
      </c>
      <c r="K939" s="975" t="s">
        <v>353</v>
      </c>
      <c r="L939" s="976"/>
      <c r="M939" s="496" t="s">
        <v>140</v>
      </c>
      <c r="N939" s="977">
        <v>0</v>
      </c>
      <c r="O939" s="961"/>
      <c r="P939" s="499">
        <v>0</v>
      </c>
      <c r="Q939" s="498" t="s">
        <v>140</v>
      </c>
    </row>
    <row r="940" spans="1:17" ht="12.75" customHeight="1">
      <c r="A940" s="491"/>
      <c r="B940" s="1012"/>
      <c r="C940" s="981"/>
      <c r="D940" s="982"/>
      <c r="E940" s="983"/>
      <c r="F940" s="990"/>
      <c r="G940" s="991"/>
      <c r="H940" s="991"/>
      <c r="I940" s="992"/>
      <c r="J940" s="867" t="s">
        <v>141</v>
      </c>
      <c r="K940" s="958" t="s">
        <v>140</v>
      </c>
      <c r="L940" s="959"/>
      <c r="M940" s="500" t="s">
        <v>140</v>
      </c>
      <c r="N940" s="960" t="s">
        <v>140</v>
      </c>
      <c r="O940" s="961"/>
      <c r="P940" s="498" t="s">
        <v>140</v>
      </c>
      <c r="Q940" s="498" t="s">
        <v>140</v>
      </c>
    </row>
    <row r="941" spans="1:17" ht="12.75" customHeight="1">
      <c r="A941" s="491"/>
      <c r="B941" s="1012"/>
      <c r="C941" s="981"/>
      <c r="D941" s="982"/>
      <c r="E941" s="983"/>
      <c r="F941" s="987" t="s">
        <v>372</v>
      </c>
      <c r="G941" s="988"/>
      <c r="H941" s="988"/>
      <c r="I941" s="989"/>
      <c r="J941" s="863" t="s">
        <v>358</v>
      </c>
      <c r="K941" s="975" t="s">
        <v>359</v>
      </c>
      <c r="L941" s="976"/>
      <c r="M941" s="496" t="s">
        <v>140</v>
      </c>
      <c r="N941" s="977">
        <v>29.92</v>
      </c>
      <c r="O941" s="961"/>
      <c r="P941" s="499">
        <v>29.92</v>
      </c>
      <c r="Q941" s="499">
        <v>36</v>
      </c>
    </row>
    <row r="942" spans="1:17" ht="12.75" customHeight="1">
      <c r="A942" s="491"/>
      <c r="B942" s="1012"/>
      <c r="C942" s="981"/>
      <c r="D942" s="982"/>
      <c r="E942" s="983"/>
      <c r="F942" s="990"/>
      <c r="G942" s="991"/>
      <c r="H942" s="991"/>
      <c r="I942" s="992"/>
      <c r="J942" s="867" t="s">
        <v>141</v>
      </c>
      <c r="K942" s="958" t="s">
        <v>140</v>
      </c>
      <c r="L942" s="959"/>
      <c r="M942" s="500" t="s">
        <v>140</v>
      </c>
      <c r="N942" s="960" t="s">
        <v>140</v>
      </c>
      <c r="O942" s="961"/>
      <c r="P942" s="498" t="s">
        <v>140</v>
      </c>
      <c r="Q942" s="498" t="s">
        <v>140</v>
      </c>
    </row>
    <row r="943" spans="1:17" ht="12.75" customHeight="1">
      <c r="A943" s="491"/>
      <c r="B943" s="1012"/>
      <c r="C943" s="981"/>
      <c r="D943" s="982"/>
      <c r="E943" s="983"/>
      <c r="F943" s="987" t="s">
        <v>373</v>
      </c>
      <c r="G943" s="988"/>
      <c r="H943" s="988"/>
      <c r="I943" s="989"/>
      <c r="J943" s="863" t="s">
        <v>355</v>
      </c>
      <c r="K943" s="975" t="s">
        <v>356</v>
      </c>
      <c r="L943" s="976"/>
      <c r="M943" s="496" t="s">
        <v>140</v>
      </c>
      <c r="N943" s="977">
        <v>7.77</v>
      </c>
      <c r="O943" s="961"/>
      <c r="P943" s="499">
        <v>7.77</v>
      </c>
      <c r="Q943" s="499">
        <v>9</v>
      </c>
    </row>
    <row r="944" spans="1:17" ht="12.75" customHeight="1">
      <c r="A944" s="491"/>
      <c r="B944" s="1012"/>
      <c r="C944" s="981"/>
      <c r="D944" s="982"/>
      <c r="E944" s="983"/>
      <c r="F944" s="990"/>
      <c r="G944" s="991"/>
      <c r="H944" s="991"/>
      <c r="I944" s="992"/>
      <c r="J944" s="867" t="s">
        <v>141</v>
      </c>
      <c r="K944" s="958" t="s">
        <v>140</v>
      </c>
      <c r="L944" s="959"/>
      <c r="M944" s="500" t="s">
        <v>140</v>
      </c>
      <c r="N944" s="960" t="s">
        <v>140</v>
      </c>
      <c r="O944" s="961"/>
      <c r="P944" s="498" t="s">
        <v>140</v>
      </c>
      <c r="Q944" s="498" t="s">
        <v>140</v>
      </c>
    </row>
    <row r="945" spans="1:17" ht="12.75" customHeight="1">
      <c r="A945" s="491"/>
      <c r="B945" s="1012"/>
      <c r="C945" s="981"/>
      <c r="D945" s="982"/>
      <c r="E945" s="983"/>
      <c r="F945" s="987" t="s">
        <v>374</v>
      </c>
      <c r="G945" s="988"/>
      <c r="H945" s="988"/>
      <c r="I945" s="989"/>
      <c r="J945" s="863" t="s">
        <v>352</v>
      </c>
      <c r="K945" s="975" t="s">
        <v>353</v>
      </c>
      <c r="L945" s="976"/>
      <c r="M945" s="496" t="s">
        <v>140</v>
      </c>
      <c r="N945" s="977">
        <v>0</v>
      </c>
      <c r="O945" s="961"/>
      <c r="P945" s="499">
        <v>0</v>
      </c>
      <c r="Q945" s="498" t="s">
        <v>140</v>
      </c>
    </row>
    <row r="946" spans="1:17" ht="12.75" customHeight="1">
      <c r="A946" s="491"/>
      <c r="B946" s="1012"/>
      <c r="C946" s="981"/>
      <c r="D946" s="982"/>
      <c r="E946" s="983"/>
      <c r="F946" s="990"/>
      <c r="G946" s="991"/>
      <c r="H946" s="991"/>
      <c r="I946" s="992"/>
      <c r="J946" s="867" t="s">
        <v>141</v>
      </c>
      <c r="K946" s="958" t="s">
        <v>140</v>
      </c>
      <c r="L946" s="959"/>
      <c r="M946" s="500" t="s">
        <v>140</v>
      </c>
      <c r="N946" s="960" t="s">
        <v>140</v>
      </c>
      <c r="O946" s="961"/>
      <c r="P946" s="498" t="s">
        <v>140</v>
      </c>
      <c r="Q946" s="498" t="s">
        <v>140</v>
      </c>
    </row>
    <row r="947" spans="1:17" ht="12.75" customHeight="1">
      <c r="A947" s="491"/>
      <c r="B947" s="1012"/>
      <c r="C947" s="981"/>
      <c r="D947" s="982"/>
      <c r="E947" s="983"/>
      <c r="F947" s="987" t="s">
        <v>375</v>
      </c>
      <c r="G947" s="988"/>
      <c r="H947" s="988"/>
      <c r="I947" s="989"/>
      <c r="J947" s="863" t="s">
        <v>358</v>
      </c>
      <c r="K947" s="975" t="s">
        <v>359</v>
      </c>
      <c r="L947" s="976"/>
      <c r="M947" s="496" t="s">
        <v>140</v>
      </c>
      <c r="N947" s="977">
        <v>29.92</v>
      </c>
      <c r="O947" s="961"/>
      <c r="P947" s="499">
        <v>29.92</v>
      </c>
      <c r="Q947" s="499">
        <v>34</v>
      </c>
    </row>
    <row r="948" spans="1:17" ht="12.75" customHeight="1">
      <c r="A948" s="491"/>
      <c r="B948" s="1012"/>
      <c r="C948" s="981"/>
      <c r="D948" s="982"/>
      <c r="E948" s="983"/>
      <c r="F948" s="990"/>
      <c r="G948" s="991"/>
      <c r="H948" s="991"/>
      <c r="I948" s="992"/>
      <c r="J948" s="867" t="s">
        <v>141</v>
      </c>
      <c r="K948" s="958" t="s">
        <v>140</v>
      </c>
      <c r="L948" s="959"/>
      <c r="M948" s="500" t="s">
        <v>140</v>
      </c>
      <c r="N948" s="960" t="s">
        <v>140</v>
      </c>
      <c r="O948" s="961"/>
      <c r="P948" s="498" t="s">
        <v>140</v>
      </c>
      <c r="Q948" s="498" t="s">
        <v>140</v>
      </c>
    </row>
    <row r="949" spans="1:17" ht="12.75" customHeight="1">
      <c r="A949" s="491"/>
      <c r="B949" s="1012"/>
      <c r="C949" s="981"/>
      <c r="D949" s="982"/>
      <c r="E949" s="983"/>
      <c r="F949" s="987" t="s">
        <v>376</v>
      </c>
      <c r="G949" s="988"/>
      <c r="H949" s="988"/>
      <c r="I949" s="989"/>
      <c r="J949" s="863" t="s">
        <v>358</v>
      </c>
      <c r="K949" s="975" t="s">
        <v>359</v>
      </c>
      <c r="L949" s="976"/>
      <c r="M949" s="496" t="s">
        <v>140</v>
      </c>
      <c r="N949" s="977">
        <v>29.75</v>
      </c>
      <c r="O949" s="961"/>
      <c r="P949" s="499">
        <v>29.75</v>
      </c>
      <c r="Q949" s="498" t="s">
        <v>140</v>
      </c>
    </row>
    <row r="950" spans="1:17" ht="12.75" customHeight="1">
      <c r="A950" s="491"/>
      <c r="B950" s="1012"/>
      <c r="C950" s="981"/>
      <c r="D950" s="982"/>
      <c r="E950" s="983"/>
      <c r="F950" s="990"/>
      <c r="G950" s="991"/>
      <c r="H950" s="991"/>
      <c r="I950" s="992"/>
      <c r="J950" s="867" t="s">
        <v>141</v>
      </c>
      <c r="K950" s="958" t="s">
        <v>140</v>
      </c>
      <c r="L950" s="959"/>
      <c r="M950" s="500" t="s">
        <v>140</v>
      </c>
      <c r="N950" s="960" t="s">
        <v>140</v>
      </c>
      <c r="O950" s="961"/>
      <c r="P950" s="498" t="s">
        <v>140</v>
      </c>
      <c r="Q950" s="498" t="s">
        <v>140</v>
      </c>
    </row>
    <row r="951" spans="1:17" ht="12.75" customHeight="1">
      <c r="A951" s="491"/>
      <c r="B951" s="1012"/>
      <c r="C951" s="981"/>
      <c r="D951" s="982"/>
      <c r="E951" s="983"/>
      <c r="F951" s="987" t="s">
        <v>377</v>
      </c>
      <c r="G951" s="988"/>
      <c r="H951" s="988"/>
      <c r="I951" s="989"/>
      <c r="J951" s="863" t="s">
        <v>358</v>
      </c>
      <c r="K951" s="975" t="s">
        <v>359</v>
      </c>
      <c r="L951" s="976"/>
      <c r="M951" s="496" t="s">
        <v>140</v>
      </c>
      <c r="N951" s="977">
        <v>29.92</v>
      </c>
      <c r="O951" s="961"/>
      <c r="P951" s="499">
        <v>29.92</v>
      </c>
      <c r="Q951" s="499">
        <v>35</v>
      </c>
    </row>
    <row r="952" spans="1:17" ht="12.75" customHeight="1">
      <c r="A952" s="491"/>
      <c r="B952" s="1012"/>
      <c r="C952" s="981"/>
      <c r="D952" s="982"/>
      <c r="E952" s="983"/>
      <c r="F952" s="990"/>
      <c r="G952" s="991"/>
      <c r="H952" s="991"/>
      <c r="I952" s="992"/>
      <c r="J952" s="867" t="s">
        <v>141</v>
      </c>
      <c r="K952" s="958" t="s">
        <v>140</v>
      </c>
      <c r="L952" s="959"/>
      <c r="M952" s="500" t="s">
        <v>140</v>
      </c>
      <c r="N952" s="960" t="s">
        <v>140</v>
      </c>
      <c r="O952" s="961"/>
      <c r="P952" s="498" t="s">
        <v>140</v>
      </c>
      <c r="Q952" s="498" t="s">
        <v>140</v>
      </c>
    </row>
    <row r="953" spans="1:17" ht="12.75" customHeight="1">
      <c r="A953" s="491"/>
      <c r="B953" s="1012"/>
      <c r="C953" s="981"/>
      <c r="D953" s="982"/>
      <c r="E953" s="983"/>
      <c r="F953" s="987" t="s">
        <v>378</v>
      </c>
      <c r="G953" s="988"/>
      <c r="H953" s="988"/>
      <c r="I953" s="989"/>
      <c r="J953" s="863" t="s">
        <v>352</v>
      </c>
      <c r="K953" s="975" t="s">
        <v>353</v>
      </c>
      <c r="L953" s="976"/>
      <c r="M953" s="496" t="s">
        <v>140</v>
      </c>
      <c r="N953" s="977">
        <v>0</v>
      </c>
      <c r="O953" s="961"/>
      <c r="P953" s="499">
        <v>0</v>
      </c>
      <c r="Q953" s="498" t="s">
        <v>140</v>
      </c>
    </row>
    <row r="954" spans="1:17" ht="12.75" customHeight="1">
      <c r="A954" s="491"/>
      <c r="B954" s="1012"/>
      <c r="C954" s="981"/>
      <c r="D954" s="982"/>
      <c r="E954" s="983"/>
      <c r="F954" s="990"/>
      <c r="G954" s="991"/>
      <c r="H954" s="991"/>
      <c r="I954" s="992"/>
      <c r="J954" s="867" t="s">
        <v>141</v>
      </c>
      <c r="K954" s="958" t="s">
        <v>140</v>
      </c>
      <c r="L954" s="959"/>
      <c r="M954" s="500" t="s">
        <v>140</v>
      </c>
      <c r="N954" s="960" t="s">
        <v>140</v>
      </c>
      <c r="O954" s="961"/>
      <c r="P954" s="498" t="s">
        <v>140</v>
      </c>
      <c r="Q954" s="498" t="s">
        <v>140</v>
      </c>
    </row>
    <row r="955" spans="1:17" ht="12.75" customHeight="1">
      <c r="A955" s="491"/>
      <c r="B955" s="1012"/>
      <c r="C955" s="981"/>
      <c r="D955" s="982"/>
      <c r="E955" s="983"/>
      <c r="F955" s="987" t="s">
        <v>282</v>
      </c>
      <c r="G955" s="988"/>
      <c r="H955" s="988"/>
      <c r="I955" s="989"/>
      <c r="J955" s="863" t="s">
        <v>355</v>
      </c>
      <c r="K955" s="975" t="s">
        <v>356</v>
      </c>
      <c r="L955" s="976"/>
      <c r="M955" s="496" t="s">
        <v>140</v>
      </c>
      <c r="N955" s="977">
        <v>7.9</v>
      </c>
      <c r="O955" s="961"/>
      <c r="P955" s="499">
        <v>7.9</v>
      </c>
      <c r="Q955" s="499">
        <v>14.95</v>
      </c>
    </row>
    <row r="956" spans="1:17" ht="12.75" customHeight="1">
      <c r="A956" s="491"/>
      <c r="B956" s="1012"/>
      <c r="C956" s="981"/>
      <c r="D956" s="982"/>
      <c r="E956" s="983"/>
      <c r="F956" s="990"/>
      <c r="G956" s="991"/>
      <c r="H956" s="991"/>
      <c r="I956" s="992"/>
      <c r="J956" s="867" t="s">
        <v>141</v>
      </c>
      <c r="K956" s="958" t="s">
        <v>140</v>
      </c>
      <c r="L956" s="959"/>
      <c r="M956" s="500" t="s">
        <v>140</v>
      </c>
      <c r="N956" s="960" t="s">
        <v>140</v>
      </c>
      <c r="O956" s="961"/>
      <c r="P956" s="498" t="s">
        <v>140</v>
      </c>
      <c r="Q956" s="498" t="s">
        <v>140</v>
      </c>
    </row>
    <row r="957" spans="1:17" ht="12.75" customHeight="1">
      <c r="A957" s="491"/>
      <c r="B957" s="1012"/>
      <c r="C957" s="981"/>
      <c r="D957" s="982"/>
      <c r="E957" s="983"/>
      <c r="F957" s="987" t="s">
        <v>288</v>
      </c>
      <c r="G957" s="988"/>
      <c r="H957" s="988"/>
      <c r="I957" s="989"/>
      <c r="J957" s="863" t="s">
        <v>358</v>
      </c>
      <c r="K957" s="975" t="s">
        <v>359</v>
      </c>
      <c r="L957" s="976"/>
      <c r="M957" s="496" t="s">
        <v>140</v>
      </c>
      <c r="N957" s="977">
        <v>29.92</v>
      </c>
      <c r="O957" s="961"/>
      <c r="P957" s="499">
        <v>29.92</v>
      </c>
      <c r="Q957" s="499">
        <v>37.25</v>
      </c>
    </row>
    <row r="958" spans="1:17" ht="12.75" customHeight="1">
      <c r="A958" s="491"/>
      <c r="B958" s="1012"/>
      <c r="C958" s="981"/>
      <c r="D958" s="982"/>
      <c r="E958" s="983"/>
      <c r="F958" s="990"/>
      <c r="G958" s="991"/>
      <c r="H958" s="991"/>
      <c r="I958" s="992"/>
      <c r="J958" s="867" t="s">
        <v>141</v>
      </c>
      <c r="K958" s="958" t="s">
        <v>140</v>
      </c>
      <c r="L958" s="959"/>
      <c r="M958" s="500" t="s">
        <v>140</v>
      </c>
      <c r="N958" s="960" t="s">
        <v>140</v>
      </c>
      <c r="O958" s="961"/>
      <c r="P958" s="498" t="s">
        <v>140</v>
      </c>
      <c r="Q958" s="498" t="s">
        <v>140</v>
      </c>
    </row>
    <row r="959" spans="1:17" ht="12.75" customHeight="1">
      <c r="A959" s="491"/>
      <c r="B959" s="1012"/>
      <c r="C959" s="981"/>
      <c r="D959" s="982"/>
      <c r="E959" s="983"/>
      <c r="F959" s="987" t="s">
        <v>289</v>
      </c>
      <c r="G959" s="988"/>
      <c r="H959" s="988"/>
      <c r="I959" s="989"/>
      <c r="J959" s="863" t="s">
        <v>358</v>
      </c>
      <c r="K959" s="975" t="s">
        <v>359</v>
      </c>
      <c r="L959" s="976"/>
      <c r="M959" s="496" t="s">
        <v>140</v>
      </c>
      <c r="N959" s="977">
        <v>29.92</v>
      </c>
      <c r="O959" s="961"/>
      <c r="P959" s="499">
        <v>29.92</v>
      </c>
      <c r="Q959" s="499">
        <v>39</v>
      </c>
    </row>
    <row r="960" spans="1:17" ht="12.75" customHeight="1">
      <c r="A960" s="491"/>
      <c r="B960" s="1012"/>
      <c r="C960" s="981"/>
      <c r="D960" s="982"/>
      <c r="E960" s="983"/>
      <c r="F960" s="990"/>
      <c r="G960" s="991"/>
      <c r="H960" s="991"/>
      <c r="I960" s="992"/>
      <c r="J960" s="867" t="s">
        <v>141</v>
      </c>
      <c r="K960" s="958" t="s">
        <v>140</v>
      </c>
      <c r="L960" s="959"/>
      <c r="M960" s="500" t="s">
        <v>140</v>
      </c>
      <c r="N960" s="960" t="s">
        <v>140</v>
      </c>
      <c r="O960" s="961"/>
      <c r="P960" s="498" t="s">
        <v>140</v>
      </c>
      <c r="Q960" s="498" t="s">
        <v>140</v>
      </c>
    </row>
    <row r="961" spans="1:17" ht="12.75" customHeight="1">
      <c r="A961" s="491"/>
      <c r="B961" s="1012"/>
      <c r="C961" s="981"/>
      <c r="D961" s="982"/>
      <c r="E961" s="983"/>
      <c r="F961" s="987" t="s">
        <v>290</v>
      </c>
      <c r="G961" s="988"/>
      <c r="H961" s="988"/>
      <c r="I961" s="989"/>
      <c r="J961" s="863" t="s">
        <v>358</v>
      </c>
      <c r="K961" s="975" t="s">
        <v>359</v>
      </c>
      <c r="L961" s="976"/>
      <c r="M961" s="496" t="s">
        <v>140</v>
      </c>
      <c r="N961" s="977">
        <v>29.7</v>
      </c>
      <c r="O961" s="961"/>
      <c r="P961" s="499">
        <v>29.7</v>
      </c>
      <c r="Q961" s="499">
        <v>33</v>
      </c>
    </row>
    <row r="962" spans="1:17" ht="12.75" customHeight="1">
      <c r="A962" s="491"/>
      <c r="B962" s="1012"/>
      <c r="C962" s="981"/>
      <c r="D962" s="982"/>
      <c r="E962" s="983"/>
      <c r="F962" s="990"/>
      <c r="G962" s="991"/>
      <c r="H962" s="991"/>
      <c r="I962" s="992"/>
      <c r="J962" s="867" t="s">
        <v>141</v>
      </c>
      <c r="K962" s="958" t="s">
        <v>140</v>
      </c>
      <c r="L962" s="959"/>
      <c r="M962" s="500" t="s">
        <v>140</v>
      </c>
      <c r="N962" s="960" t="s">
        <v>140</v>
      </c>
      <c r="O962" s="961"/>
      <c r="P962" s="498" t="s">
        <v>140</v>
      </c>
      <c r="Q962" s="498" t="s">
        <v>140</v>
      </c>
    </row>
    <row r="963" spans="1:17" ht="12.75" customHeight="1">
      <c r="A963" s="491"/>
      <c r="B963" s="1012"/>
      <c r="C963" s="981"/>
      <c r="D963" s="982"/>
      <c r="E963" s="983"/>
      <c r="F963" s="987" t="s">
        <v>291</v>
      </c>
      <c r="G963" s="988"/>
      <c r="H963" s="988"/>
      <c r="I963" s="989"/>
      <c r="J963" s="863" t="s">
        <v>358</v>
      </c>
      <c r="K963" s="975" t="s">
        <v>359</v>
      </c>
      <c r="L963" s="976"/>
      <c r="M963" s="496" t="s">
        <v>140</v>
      </c>
      <c r="N963" s="977">
        <v>28</v>
      </c>
      <c r="O963" s="961"/>
      <c r="P963" s="499">
        <v>28</v>
      </c>
      <c r="Q963" s="499">
        <v>31.11</v>
      </c>
    </row>
    <row r="964" spans="1:17" ht="12.75" customHeight="1">
      <c r="A964" s="491"/>
      <c r="B964" s="1012"/>
      <c r="C964" s="981"/>
      <c r="D964" s="982"/>
      <c r="E964" s="983"/>
      <c r="F964" s="990"/>
      <c r="G964" s="991"/>
      <c r="H964" s="991"/>
      <c r="I964" s="992"/>
      <c r="J964" s="867" t="s">
        <v>141</v>
      </c>
      <c r="K964" s="958" t="s">
        <v>140</v>
      </c>
      <c r="L964" s="959"/>
      <c r="M964" s="500" t="s">
        <v>140</v>
      </c>
      <c r="N964" s="960" t="s">
        <v>140</v>
      </c>
      <c r="O964" s="961"/>
      <c r="P964" s="498" t="s">
        <v>140</v>
      </c>
      <c r="Q964" s="498" t="s">
        <v>140</v>
      </c>
    </row>
    <row r="965" spans="1:17" ht="12.75" customHeight="1">
      <c r="A965" s="491"/>
      <c r="B965" s="1012"/>
      <c r="C965" s="981"/>
      <c r="D965" s="982"/>
      <c r="E965" s="983"/>
      <c r="F965" s="987" t="s">
        <v>292</v>
      </c>
      <c r="G965" s="988"/>
      <c r="H965" s="988"/>
      <c r="I965" s="989"/>
      <c r="J965" s="863" t="s">
        <v>358</v>
      </c>
      <c r="K965" s="975" t="s">
        <v>359</v>
      </c>
      <c r="L965" s="976"/>
      <c r="M965" s="496" t="s">
        <v>140</v>
      </c>
      <c r="N965" s="977">
        <v>27.58</v>
      </c>
      <c r="O965" s="961"/>
      <c r="P965" s="499">
        <v>27.58</v>
      </c>
      <c r="Q965" s="499">
        <v>31</v>
      </c>
    </row>
    <row r="966" spans="1:17" ht="12.75" customHeight="1">
      <c r="A966" s="491"/>
      <c r="B966" s="1012"/>
      <c r="C966" s="981"/>
      <c r="D966" s="982"/>
      <c r="E966" s="983"/>
      <c r="F966" s="990"/>
      <c r="G966" s="991"/>
      <c r="H966" s="991"/>
      <c r="I966" s="992"/>
      <c r="J966" s="867" t="s">
        <v>141</v>
      </c>
      <c r="K966" s="958" t="s">
        <v>140</v>
      </c>
      <c r="L966" s="959"/>
      <c r="M966" s="500" t="s">
        <v>140</v>
      </c>
      <c r="N966" s="960" t="s">
        <v>140</v>
      </c>
      <c r="O966" s="961"/>
      <c r="P966" s="498" t="s">
        <v>140</v>
      </c>
      <c r="Q966" s="498" t="s">
        <v>140</v>
      </c>
    </row>
    <row r="967" spans="1:17" ht="12.75" customHeight="1">
      <c r="A967" s="491"/>
      <c r="B967" s="1012"/>
      <c r="C967" s="981"/>
      <c r="D967" s="982"/>
      <c r="E967" s="983"/>
      <c r="F967" s="987" t="s">
        <v>293</v>
      </c>
      <c r="G967" s="988"/>
      <c r="H967" s="988"/>
      <c r="I967" s="989"/>
      <c r="J967" s="863" t="s">
        <v>358</v>
      </c>
      <c r="K967" s="975" t="s">
        <v>359</v>
      </c>
      <c r="L967" s="976"/>
      <c r="M967" s="496" t="s">
        <v>140</v>
      </c>
      <c r="N967" s="977">
        <v>29.92</v>
      </c>
      <c r="O967" s="961"/>
      <c r="P967" s="499">
        <v>29.92</v>
      </c>
      <c r="Q967" s="499">
        <v>35</v>
      </c>
    </row>
    <row r="968" spans="1:17" ht="12.75" customHeight="1">
      <c r="A968" s="491"/>
      <c r="B968" s="1012"/>
      <c r="C968" s="981"/>
      <c r="D968" s="982"/>
      <c r="E968" s="983"/>
      <c r="F968" s="990"/>
      <c r="G968" s="991"/>
      <c r="H968" s="991"/>
      <c r="I968" s="992"/>
      <c r="J968" s="867" t="s">
        <v>141</v>
      </c>
      <c r="K968" s="958" t="s">
        <v>140</v>
      </c>
      <c r="L968" s="959"/>
      <c r="M968" s="500" t="s">
        <v>140</v>
      </c>
      <c r="N968" s="960" t="s">
        <v>140</v>
      </c>
      <c r="O968" s="961"/>
      <c r="P968" s="498" t="s">
        <v>140</v>
      </c>
      <c r="Q968" s="498" t="s">
        <v>140</v>
      </c>
    </row>
    <row r="969" spans="1:17" ht="12.75" customHeight="1">
      <c r="A969" s="491"/>
      <c r="B969" s="1012"/>
      <c r="C969" s="981"/>
      <c r="D969" s="982"/>
      <c r="E969" s="983"/>
      <c r="F969" s="987" t="s">
        <v>295</v>
      </c>
      <c r="G969" s="988"/>
      <c r="H969" s="988"/>
      <c r="I969" s="989"/>
      <c r="J969" s="863" t="s">
        <v>358</v>
      </c>
      <c r="K969" s="975" t="s">
        <v>359</v>
      </c>
      <c r="L969" s="976"/>
      <c r="M969" s="496" t="s">
        <v>140</v>
      </c>
      <c r="N969" s="977">
        <v>29.92</v>
      </c>
      <c r="O969" s="961"/>
      <c r="P969" s="499">
        <v>29.92</v>
      </c>
      <c r="Q969" s="499">
        <v>36</v>
      </c>
    </row>
    <row r="970" spans="1:17" ht="12.75" customHeight="1">
      <c r="A970" s="491"/>
      <c r="B970" s="1012"/>
      <c r="C970" s="981"/>
      <c r="D970" s="982"/>
      <c r="E970" s="983"/>
      <c r="F970" s="990"/>
      <c r="G970" s="991"/>
      <c r="H970" s="991"/>
      <c r="I970" s="992"/>
      <c r="J970" s="867" t="s">
        <v>141</v>
      </c>
      <c r="K970" s="958" t="s">
        <v>140</v>
      </c>
      <c r="L970" s="959"/>
      <c r="M970" s="500" t="s">
        <v>140</v>
      </c>
      <c r="N970" s="960" t="s">
        <v>140</v>
      </c>
      <c r="O970" s="961"/>
      <c r="P970" s="498" t="s">
        <v>140</v>
      </c>
      <c r="Q970" s="498" t="s">
        <v>140</v>
      </c>
    </row>
    <row r="971" spans="1:17" ht="12.75" customHeight="1">
      <c r="A971" s="491"/>
      <c r="B971" s="1012"/>
      <c r="C971" s="984"/>
      <c r="D971" s="985"/>
      <c r="E971" s="986"/>
      <c r="F971" s="962" t="s">
        <v>140</v>
      </c>
      <c r="G971" s="958"/>
      <c r="H971" s="958"/>
      <c r="I971" s="959"/>
      <c r="J971" s="867" t="s">
        <v>247</v>
      </c>
      <c r="K971" s="958" t="s">
        <v>140</v>
      </c>
      <c r="L971" s="959"/>
      <c r="M971" s="501">
        <v>575822</v>
      </c>
      <c r="N971" s="960" t="s">
        <v>140</v>
      </c>
      <c r="O971" s="961"/>
      <c r="P971" s="498" t="s">
        <v>140</v>
      </c>
      <c r="Q971" s="498" t="s">
        <v>140</v>
      </c>
    </row>
    <row r="972" spans="1:17" ht="12.75" customHeight="1">
      <c r="A972" s="491"/>
      <c r="B972" s="1013"/>
      <c r="C972" s="963" t="s">
        <v>140</v>
      </c>
      <c r="D972" s="964"/>
      <c r="E972" s="965"/>
      <c r="F972" s="962" t="s">
        <v>140</v>
      </c>
      <c r="G972" s="958"/>
      <c r="H972" s="958"/>
      <c r="I972" s="959"/>
      <c r="J972" s="867" t="s">
        <v>301</v>
      </c>
      <c r="K972" s="958" t="s">
        <v>140</v>
      </c>
      <c r="L972" s="959"/>
      <c r="M972" s="501">
        <v>1151644</v>
      </c>
      <c r="N972" s="960" t="s">
        <v>140</v>
      </c>
      <c r="O972" s="961"/>
      <c r="P972" s="498" t="s">
        <v>140</v>
      </c>
      <c r="Q972" s="498" t="s">
        <v>140</v>
      </c>
    </row>
    <row r="975" spans="1:17" ht="15.75">
      <c r="A975" s="22" t="s">
        <v>125</v>
      </c>
      <c r="B975" s="22" t="s">
        <v>379</v>
      </c>
    </row>
    <row r="976" spans="1:17" ht="12.75" customHeight="1">
      <c r="A976" s="491"/>
      <c r="B976" s="492" t="s">
        <v>127</v>
      </c>
      <c r="C976" s="1005" t="s">
        <v>128</v>
      </c>
      <c r="D976" s="1005"/>
      <c r="E976" s="1006"/>
      <c r="F976" s="1007" t="s">
        <v>129</v>
      </c>
      <c r="G976" s="1005"/>
      <c r="H976" s="1005"/>
      <c r="I976" s="1006"/>
      <c r="J976" s="493" t="s">
        <v>130</v>
      </c>
      <c r="K976" s="1005" t="s">
        <v>131</v>
      </c>
      <c r="L976" s="1006"/>
      <c r="M976" s="493" t="s">
        <v>132</v>
      </c>
      <c r="N976" s="1005" t="s">
        <v>133</v>
      </c>
      <c r="O976" s="1006"/>
      <c r="P976" s="493" t="s">
        <v>134</v>
      </c>
      <c r="Q976" s="493" t="s">
        <v>135</v>
      </c>
    </row>
    <row r="977" spans="1:17" ht="12.75" customHeight="1">
      <c r="A977" s="491"/>
      <c r="B977" s="1008">
        <v>5</v>
      </c>
      <c r="C977" s="978" t="s">
        <v>136</v>
      </c>
      <c r="D977" s="979"/>
      <c r="E977" s="980"/>
      <c r="F977" s="987" t="s">
        <v>380</v>
      </c>
      <c r="G977" s="988"/>
      <c r="H977" s="988"/>
      <c r="I977" s="989"/>
      <c r="J977" s="862" t="s">
        <v>197</v>
      </c>
      <c r="K977" s="975" t="s">
        <v>198</v>
      </c>
      <c r="L977" s="976"/>
      <c r="M977" s="868">
        <v>48406</v>
      </c>
      <c r="N977" s="977">
        <v>32.659999999999997</v>
      </c>
      <c r="O977" s="961"/>
      <c r="P977" s="495">
        <v>32.659999999999997</v>
      </c>
      <c r="Q977" s="495">
        <v>91.22</v>
      </c>
    </row>
    <row r="978" spans="1:17" ht="12.75" customHeight="1">
      <c r="A978" s="491"/>
      <c r="B978" s="1009"/>
      <c r="C978" s="981"/>
      <c r="D978" s="982"/>
      <c r="E978" s="983"/>
      <c r="F978" s="990"/>
      <c r="G978" s="991"/>
      <c r="H978" s="991"/>
      <c r="I978" s="992"/>
      <c r="J978" s="867" t="s">
        <v>141</v>
      </c>
      <c r="K978" s="958" t="s">
        <v>140</v>
      </c>
      <c r="L978" s="959"/>
      <c r="M978" s="501">
        <v>48406</v>
      </c>
      <c r="N978" s="960" t="s">
        <v>140</v>
      </c>
      <c r="O978" s="961"/>
      <c r="P978" s="498" t="s">
        <v>140</v>
      </c>
      <c r="Q978" s="498" t="s">
        <v>140</v>
      </c>
    </row>
    <row r="979" spans="1:17" ht="12.75" customHeight="1">
      <c r="A979" s="491"/>
      <c r="B979" s="1009"/>
      <c r="C979" s="981"/>
      <c r="D979" s="982"/>
      <c r="E979" s="983"/>
      <c r="F979" s="966" t="s">
        <v>381</v>
      </c>
      <c r="G979" s="967"/>
      <c r="H979" s="967"/>
      <c r="I979" s="968"/>
      <c r="J979" s="863" t="s">
        <v>382</v>
      </c>
      <c r="K979" s="975" t="s">
        <v>383</v>
      </c>
      <c r="L979" s="976"/>
      <c r="M979" s="497">
        <v>72745</v>
      </c>
      <c r="N979" s="977">
        <v>8.4600000000000009</v>
      </c>
      <c r="O979" s="961"/>
      <c r="P979" s="499">
        <v>8.4600000000000009</v>
      </c>
      <c r="Q979" s="499">
        <v>8.4600000000000009</v>
      </c>
    </row>
    <row r="980" spans="1:17" ht="12.75" customHeight="1">
      <c r="A980" s="491"/>
      <c r="B980" s="1009"/>
      <c r="C980" s="981"/>
      <c r="D980" s="982"/>
      <c r="E980" s="983"/>
      <c r="F980" s="969"/>
      <c r="G980" s="970"/>
      <c r="H980" s="970"/>
      <c r="I980" s="971"/>
      <c r="J980" s="863" t="s">
        <v>384</v>
      </c>
      <c r="K980" s="975" t="s">
        <v>385</v>
      </c>
      <c r="L980" s="976"/>
      <c r="M980" s="496" t="s">
        <v>140</v>
      </c>
      <c r="N980" s="977">
        <v>8.4600000000000009</v>
      </c>
      <c r="O980" s="961"/>
      <c r="P980" s="499">
        <v>8.4600000000000009</v>
      </c>
      <c r="Q980" s="499">
        <v>8.4600000000000009</v>
      </c>
    </row>
    <row r="981" spans="1:17" ht="12.75" customHeight="1">
      <c r="A981" s="491"/>
      <c r="B981" s="1009"/>
      <c r="C981" s="981"/>
      <c r="D981" s="982"/>
      <c r="E981" s="983"/>
      <c r="F981" s="969"/>
      <c r="G981" s="970"/>
      <c r="H981" s="970"/>
      <c r="I981" s="971"/>
      <c r="J981" s="863" t="s">
        <v>386</v>
      </c>
      <c r="K981" s="975" t="s">
        <v>387</v>
      </c>
      <c r="L981" s="976"/>
      <c r="M981" s="496" t="s">
        <v>140</v>
      </c>
      <c r="N981" s="977">
        <v>8.4600000000000009</v>
      </c>
      <c r="O981" s="961"/>
      <c r="P981" s="499">
        <v>8.4600000000000009</v>
      </c>
      <c r="Q981" s="499">
        <v>8.4600000000000009</v>
      </c>
    </row>
    <row r="982" spans="1:17" ht="12.75" customHeight="1">
      <c r="A982" s="491"/>
      <c r="B982" s="1009"/>
      <c r="C982" s="981"/>
      <c r="D982" s="982"/>
      <c r="E982" s="983"/>
      <c r="F982" s="969"/>
      <c r="G982" s="970"/>
      <c r="H982" s="970"/>
      <c r="I982" s="971"/>
      <c r="J982" s="863" t="s">
        <v>388</v>
      </c>
      <c r="K982" s="975" t="s">
        <v>389</v>
      </c>
      <c r="L982" s="976"/>
      <c r="M982" s="496" t="s">
        <v>140</v>
      </c>
      <c r="N982" s="977">
        <v>8.4600000000000009</v>
      </c>
      <c r="O982" s="961"/>
      <c r="P982" s="499">
        <v>8.4600000000000009</v>
      </c>
      <c r="Q982" s="499">
        <v>8.4600000000000009</v>
      </c>
    </row>
    <row r="983" spans="1:17" ht="12.75" customHeight="1">
      <c r="A983" s="491"/>
      <c r="B983" s="1009"/>
      <c r="C983" s="981"/>
      <c r="D983" s="982"/>
      <c r="E983" s="983"/>
      <c r="F983" s="969"/>
      <c r="G983" s="970"/>
      <c r="H983" s="970"/>
      <c r="I983" s="971"/>
      <c r="J983" s="863" t="s">
        <v>390</v>
      </c>
      <c r="K983" s="975" t="s">
        <v>391</v>
      </c>
      <c r="L983" s="976"/>
      <c r="M983" s="496" t="s">
        <v>140</v>
      </c>
      <c r="N983" s="977">
        <v>8.4600000000000009</v>
      </c>
      <c r="O983" s="961"/>
      <c r="P983" s="499">
        <v>8.4600000000000009</v>
      </c>
      <c r="Q983" s="499">
        <v>8.4600000000000009</v>
      </c>
    </row>
    <row r="984" spans="1:17" ht="12.75" customHeight="1">
      <c r="A984" s="491"/>
      <c r="B984" s="1009"/>
      <c r="C984" s="981"/>
      <c r="D984" s="982"/>
      <c r="E984" s="983"/>
      <c r="F984" s="969"/>
      <c r="G984" s="970"/>
      <c r="H984" s="970"/>
      <c r="I984" s="971"/>
      <c r="J984" s="863" t="s">
        <v>192</v>
      </c>
      <c r="K984" s="975" t="s">
        <v>193</v>
      </c>
      <c r="L984" s="976"/>
      <c r="M984" s="497">
        <v>48493</v>
      </c>
      <c r="N984" s="977">
        <v>9.3000000000000007</v>
      </c>
      <c r="O984" s="961"/>
      <c r="P984" s="499">
        <v>9.3000000000000007</v>
      </c>
      <c r="Q984" s="499">
        <v>9.3000000000000007</v>
      </c>
    </row>
    <row r="985" spans="1:17" ht="12.75" customHeight="1">
      <c r="A985" s="491"/>
      <c r="B985" s="1009"/>
      <c r="C985" s="981"/>
      <c r="D985" s="982"/>
      <c r="E985" s="983"/>
      <c r="F985" s="969"/>
      <c r="G985" s="970"/>
      <c r="H985" s="970"/>
      <c r="I985" s="971"/>
      <c r="J985" s="863" t="s">
        <v>392</v>
      </c>
      <c r="K985" s="975" t="s">
        <v>393</v>
      </c>
      <c r="L985" s="976"/>
      <c r="M985" s="496" t="s">
        <v>140</v>
      </c>
      <c r="N985" s="977">
        <v>9.3000000000000007</v>
      </c>
      <c r="O985" s="961"/>
      <c r="P985" s="499">
        <v>9.3000000000000007</v>
      </c>
      <c r="Q985" s="499">
        <v>9.3000000000000007</v>
      </c>
    </row>
    <row r="986" spans="1:17" ht="12.75" customHeight="1">
      <c r="A986" s="491"/>
      <c r="B986" s="1009"/>
      <c r="C986" s="981"/>
      <c r="D986" s="982"/>
      <c r="E986" s="983"/>
      <c r="F986" s="972"/>
      <c r="G986" s="973"/>
      <c r="H986" s="973"/>
      <c r="I986" s="974"/>
      <c r="J986" s="867" t="s">
        <v>141</v>
      </c>
      <c r="K986" s="958" t="s">
        <v>140</v>
      </c>
      <c r="L986" s="959"/>
      <c r="M986" s="501">
        <v>121238</v>
      </c>
      <c r="N986" s="960" t="s">
        <v>140</v>
      </c>
      <c r="O986" s="961"/>
      <c r="P986" s="498" t="s">
        <v>140</v>
      </c>
      <c r="Q986" s="498" t="s">
        <v>140</v>
      </c>
    </row>
    <row r="987" spans="1:17" ht="12.75" customHeight="1">
      <c r="A987" s="491"/>
      <c r="B987" s="1009"/>
      <c r="C987" s="981"/>
      <c r="D987" s="982"/>
      <c r="E987" s="983"/>
      <c r="F987" s="987" t="s">
        <v>394</v>
      </c>
      <c r="G987" s="988"/>
      <c r="H987" s="988"/>
      <c r="I987" s="989"/>
      <c r="J987" s="863" t="s">
        <v>395</v>
      </c>
      <c r="K987" s="975" t="s">
        <v>396</v>
      </c>
      <c r="L987" s="976"/>
      <c r="M987" s="497">
        <v>20272</v>
      </c>
      <c r="N987" s="977">
        <v>100.2</v>
      </c>
      <c r="O987" s="961"/>
      <c r="P987" s="499">
        <v>100.2</v>
      </c>
      <c r="Q987" s="499">
        <v>356.66</v>
      </c>
    </row>
    <row r="988" spans="1:17" ht="12.75" customHeight="1">
      <c r="A988" s="491"/>
      <c r="B988" s="1009"/>
      <c r="C988" s="981"/>
      <c r="D988" s="982"/>
      <c r="E988" s="983"/>
      <c r="F988" s="990"/>
      <c r="G988" s="991"/>
      <c r="H988" s="991"/>
      <c r="I988" s="992"/>
      <c r="J988" s="867" t="s">
        <v>141</v>
      </c>
      <c r="K988" s="958" t="s">
        <v>140</v>
      </c>
      <c r="L988" s="959"/>
      <c r="M988" s="501">
        <v>20272</v>
      </c>
      <c r="N988" s="960" t="s">
        <v>140</v>
      </c>
      <c r="O988" s="961"/>
      <c r="P988" s="498" t="s">
        <v>140</v>
      </c>
      <c r="Q988" s="498" t="s">
        <v>140</v>
      </c>
    </row>
    <row r="989" spans="1:17" ht="12.75" customHeight="1">
      <c r="A989" s="491"/>
      <c r="B989" s="1009"/>
      <c r="C989" s="981"/>
      <c r="D989" s="982"/>
      <c r="E989" s="983"/>
      <c r="F989" s="996" t="s">
        <v>224</v>
      </c>
      <c r="G989" s="997"/>
      <c r="H989" s="997"/>
      <c r="I989" s="998"/>
      <c r="J989" s="863" t="s">
        <v>206</v>
      </c>
      <c r="K989" s="975" t="s">
        <v>207</v>
      </c>
      <c r="L989" s="976"/>
      <c r="M989" s="496" t="s">
        <v>140</v>
      </c>
      <c r="N989" s="977">
        <v>154.15</v>
      </c>
      <c r="O989" s="961"/>
      <c r="P989" s="499">
        <v>154.15</v>
      </c>
      <c r="Q989" s="499">
        <v>154.15</v>
      </c>
    </row>
    <row r="990" spans="1:17" ht="12.75" customHeight="1">
      <c r="A990" s="491"/>
      <c r="B990" s="1009"/>
      <c r="C990" s="981"/>
      <c r="D990" s="982"/>
      <c r="E990" s="983"/>
      <c r="F990" s="999"/>
      <c r="G990" s="1000"/>
      <c r="H990" s="1000"/>
      <c r="I990" s="1001"/>
      <c r="J990" s="863" t="s">
        <v>172</v>
      </c>
      <c r="K990" s="975" t="s">
        <v>173</v>
      </c>
      <c r="L990" s="976"/>
      <c r="M990" s="497">
        <v>52561</v>
      </c>
      <c r="N990" s="977">
        <v>68.37</v>
      </c>
      <c r="O990" s="961"/>
      <c r="P990" s="499">
        <v>68.37</v>
      </c>
      <c r="Q990" s="499">
        <v>68.37</v>
      </c>
    </row>
    <row r="991" spans="1:17" ht="12.75" customHeight="1">
      <c r="A991" s="491"/>
      <c r="B991" s="1009"/>
      <c r="C991" s="981"/>
      <c r="D991" s="982"/>
      <c r="E991" s="983"/>
      <c r="F991" s="999"/>
      <c r="G991" s="1000"/>
      <c r="H991" s="1000"/>
      <c r="I991" s="1001"/>
      <c r="J991" s="863" t="s">
        <v>138</v>
      </c>
      <c r="K991" s="975" t="s">
        <v>139</v>
      </c>
      <c r="L991" s="976"/>
      <c r="M991" s="497">
        <v>7256</v>
      </c>
      <c r="N991" s="977">
        <v>2.2599999999999998</v>
      </c>
      <c r="O991" s="961"/>
      <c r="P991" s="499">
        <v>2.2599999999999998</v>
      </c>
      <c r="Q991" s="499">
        <v>2.2599999999999998</v>
      </c>
    </row>
    <row r="992" spans="1:17" ht="12.75" customHeight="1">
      <c r="A992" s="491"/>
      <c r="B992" s="1009"/>
      <c r="C992" s="981"/>
      <c r="D992" s="982"/>
      <c r="E992" s="983"/>
      <c r="F992" s="999"/>
      <c r="G992" s="1000"/>
      <c r="H992" s="1000"/>
      <c r="I992" s="1001"/>
      <c r="J992" s="863" t="s">
        <v>164</v>
      </c>
      <c r="K992" s="975" t="s">
        <v>165</v>
      </c>
      <c r="L992" s="976"/>
      <c r="M992" s="497">
        <v>25418</v>
      </c>
      <c r="N992" s="977">
        <v>38.74</v>
      </c>
      <c r="O992" s="961"/>
      <c r="P992" s="499">
        <v>38.74</v>
      </c>
      <c r="Q992" s="499">
        <v>38.74</v>
      </c>
    </row>
    <row r="993" spans="1:17" ht="12.75" customHeight="1">
      <c r="A993" s="491"/>
      <c r="B993" s="1009"/>
      <c r="C993" s="981"/>
      <c r="D993" s="982"/>
      <c r="E993" s="983"/>
      <c r="F993" s="999"/>
      <c r="G993" s="1000"/>
      <c r="H993" s="1000"/>
      <c r="I993" s="1001"/>
      <c r="J993" s="863" t="s">
        <v>321</v>
      </c>
      <c r="K993" s="975" t="s">
        <v>322</v>
      </c>
      <c r="L993" s="976"/>
      <c r="M993" s="497">
        <v>16314</v>
      </c>
      <c r="N993" s="977">
        <v>28.2</v>
      </c>
      <c r="O993" s="961"/>
      <c r="P993" s="499">
        <v>28.2</v>
      </c>
      <c r="Q993" s="499">
        <v>28.2</v>
      </c>
    </row>
    <row r="994" spans="1:17" ht="12.75" customHeight="1">
      <c r="A994" s="491"/>
      <c r="B994" s="1009"/>
      <c r="C994" s="981"/>
      <c r="D994" s="982"/>
      <c r="E994" s="983"/>
      <c r="F994" s="999"/>
      <c r="G994" s="1000"/>
      <c r="H994" s="1000"/>
      <c r="I994" s="1001"/>
      <c r="J994" s="863" t="s">
        <v>158</v>
      </c>
      <c r="K994" s="975" t="s">
        <v>159</v>
      </c>
      <c r="L994" s="976"/>
      <c r="M994" s="497">
        <v>14350</v>
      </c>
      <c r="N994" s="977">
        <v>113</v>
      </c>
      <c r="O994" s="961"/>
      <c r="P994" s="499">
        <v>113</v>
      </c>
      <c r="Q994" s="499">
        <v>113</v>
      </c>
    </row>
    <row r="995" spans="1:17" ht="12.75" customHeight="1">
      <c r="A995" s="491"/>
      <c r="B995" s="1009"/>
      <c r="C995" s="981"/>
      <c r="D995" s="982"/>
      <c r="E995" s="983"/>
      <c r="F995" s="999"/>
      <c r="G995" s="1000"/>
      <c r="H995" s="1000"/>
      <c r="I995" s="1001"/>
      <c r="J995" s="863" t="s">
        <v>323</v>
      </c>
      <c r="K995" s="975" t="s">
        <v>324</v>
      </c>
      <c r="L995" s="976"/>
      <c r="M995" s="497">
        <v>16314</v>
      </c>
      <c r="N995" s="977">
        <v>28.2</v>
      </c>
      <c r="O995" s="961"/>
      <c r="P995" s="499">
        <v>28.2</v>
      </c>
      <c r="Q995" s="499">
        <v>28.2</v>
      </c>
    </row>
    <row r="996" spans="1:17" ht="12.75" customHeight="1">
      <c r="A996" s="491"/>
      <c r="B996" s="1009"/>
      <c r="C996" s="981"/>
      <c r="D996" s="982"/>
      <c r="E996" s="983"/>
      <c r="F996" s="1002"/>
      <c r="G996" s="1003"/>
      <c r="H996" s="1003"/>
      <c r="I996" s="1004"/>
      <c r="J996" s="867" t="s">
        <v>141</v>
      </c>
      <c r="K996" s="958" t="s">
        <v>140</v>
      </c>
      <c r="L996" s="959"/>
      <c r="M996" s="501">
        <v>132213</v>
      </c>
      <c r="N996" s="960" t="s">
        <v>140</v>
      </c>
      <c r="O996" s="961"/>
      <c r="P996" s="498" t="s">
        <v>140</v>
      </c>
      <c r="Q996" s="498" t="s">
        <v>140</v>
      </c>
    </row>
    <row r="997" spans="1:17" ht="12.75" customHeight="1">
      <c r="A997" s="491"/>
      <c r="B997" s="1009"/>
      <c r="C997" s="984"/>
      <c r="D997" s="985"/>
      <c r="E997" s="986"/>
      <c r="F997" s="962" t="s">
        <v>140</v>
      </c>
      <c r="G997" s="958"/>
      <c r="H997" s="958"/>
      <c r="I997" s="959"/>
      <c r="J997" s="867" t="s">
        <v>247</v>
      </c>
      <c r="K997" s="958" t="s">
        <v>140</v>
      </c>
      <c r="L997" s="959"/>
      <c r="M997" s="501">
        <v>322129</v>
      </c>
      <c r="N997" s="960" t="s">
        <v>140</v>
      </c>
      <c r="O997" s="961"/>
      <c r="P997" s="498" t="s">
        <v>140</v>
      </c>
      <c r="Q997" s="498" t="s">
        <v>140</v>
      </c>
    </row>
    <row r="998" spans="1:17" ht="12.75" customHeight="1">
      <c r="A998" s="491"/>
      <c r="B998" s="1009"/>
      <c r="C998" s="978" t="s">
        <v>248</v>
      </c>
      <c r="D998" s="979"/>
      <c r="E998" s="980"/>
      <c r="F998" s="987" t="s">
        <v>397</v>
      </c>
      <c r="G998" s="988"/>
      <c r="H998" s="988"/>
      <c r="I998" s="989"/>
      <c r="J998" s="863" t="s">
        <v>206</v>
      </c>
      <c r="K998" s="975" t="s">
        <v>207</v>
      </c>
      <c r="L998" s="976"/>
      <c r="M998" s="497">
        <v>54561</v>
      </c>
      <c r="N998" s="977">
        <v>148.06</v>
      </c>
      <c r="O998" s="961"/>
      <c r="P998" s="499">
        <v>148.06</v>
      </c>
      <c r="Q998" s="499">
        <v>163.92</v>
      </c>
    </row>
    <row r="999" spans="1:17" ht="12.75" customHeight="1">
      <c r="A999" s="491"/>
      <c r="B999" s="1009"/>
      <c r="C999" s="981"/>
      <c r="D999" s="982"/>
      <c r="E999" s="983"/>
      <c r="F999" s="990"/>
      <c r="G999" s="991"/>
      <c r="H999" s="991"/>
      <c r="I999" s="992"/>
      <c r="J999" s="867" t="s">
        <v>141</v>
      </c>
      <c r="K999" s="958" t="s">
        <v>140</v>
      </c>
      <c r="L999" s="959"/>
      <c r="M999" s="501">
        <v>54561</v>
      </c>
      <c r="N999" s="960" t="s">
        <v>140</v>
      </c>
      <c r="O999" s="961"/>
      <c r="P999" s="498" t="s">
        <v>140</v>
      </c>
      <c r="Q999" s="498" t="s">
        <v>140</v>
      </c>
    </row>
    <row r="1000" spans="1:17" ht="12.75" customHeight="1">
      <c r="A1000" s="491"/>
      <c r="B1000" s="1009"/>
      <c r="C1000" s="981"/>
      <c r="D1000" s="982"/>
      <c r="E1000" s="983"/>
      <c r="F1000" s="987" t="s">
        <v>398</v>
      </c>
      <c r="G1000" s="988"/>
      <c r="H1000" s="988"/>
      <c r="I1000" s="989"/>
      <c r="J1000" s="863" t="s">
        <v>192</v>
      </c>
      <c r="K1000" s="975" t="s">
        <v>193</v>
      </c>
      <c r="L1000" s="976"/>
      <c r="M1000" s="497">
        <v>301818</v>
      </c>
      <c r="N1000" s="977">
        <v>10.74</v>
      </c>
      <c r="O1000" s="961"/>
      <c r="P1000" s="499">
        <v>10.74</v>
      </c>
      <c r="Q1000" s="499">
        <v>10.74</v>
      </c>
    </row>
    <row r="1001" spans="1:17" ht="12.75" customHeight="1">
      <c r="A1001" s="491"/>
      <c r="B1001" s="1009"/>
      <c r="C1001" s="981"/>
      <c r="D1001" s="982"/>
      <c r="E1001" s="983"/>
      <c r="F1001" s="993"/>
      <c r="G1001" s="994"/>
      <c r="H1001" s="994"/>
      <c r="I1001" s="995"/>
      <c r="J1001" s="863" t="s">
        <v>392</v>
      </c>
      <c r="K1001" s="975" t="s">
        <v>393</v>
      </c>
      <c r="L1001" s="976"/>
      <c r="M1001" s="496" t="s">
        <v>140</v>
      </c>
      <c r="N1001" s="977">
        <v>10.74</v>
      </c>
      <c r="O1001" s="961"/>
      <c r="P1001" s="499">
        <v>10.74</v>
      </c>
      <c r="Q1001" s="499">
        <v>10.74</v>
      </c>
    </row>
    <row r="1002" spans="1:17" ht="12.75" customHeight="1">
      <c r="A1002" s="491"/>
      <c r="B1002" s="1009"/>
      <c r="C1002" s="981"/>
      <c r="D1002" s="982"/>
      <c r="E1002" s="983"/>
      <c r="F1002" s="990"/>
      <c r="G1002" s="991"/>
      <c r="H1002" s="991"/>
      <c r="I1002" s="992"/>
      <c r="J1002" s="867" t="s">
        <v>141</v>
      </c>
      <c r="K1002" s="958" t="s">
        <v>140</v>
      </c>
      <c r="L1002" s="959"/>
      <c r="M1002" s="501">
        <v>301818</v>
      </c>
      <c r="N1002" s="960" t="s">
        <v>140</v>
      </c>
      <c r="O1002" s="961"/>
      <c r="P1002" s="498" t="s">
        <v>140</v>
      </c>
      <c r="Q1002" s="498" t="s">
        <v>140</v>
      </c>
    </row>
    <row r="1003" spans="1:17" ht="12.75" customHeight="1">
      <c r="A1003" s="491"/>
      <c r="B1003" s="1009"/>
      <c r="C1003" s="981"/>
      <c r="D1003" s="982"/>
      <c r="E1003" s="983"/>
      <c r="F1003" s="987" t="s">
        <v>399</v>
      </c>
      <c r="G1003" s="988"/>
      <c r="H1003" s="988"/>
      <c r="I1003" s="989"/>
      <c r="J1003" s="863" t="s">
        <v>206</v>
      </c>
      <c r="K1003" s="975" t="s">
        <v>207</v>
      </c>
      <c r="L1003" s="976"/>
      <c r="M1003" s="497">
        <v>105571</v>
      </c>
      <c r="N1003" s="977">
        <v>148.06</v>
      </c>
      <c r="O1003" s="961"/>
      <c r="P1003" s="499">
        <v>148.06</v>
      </c>
      <c r="Q1003" s="499">
        <v>163.92</v>
      </c>
    </row>
    <row r="1004" spans="1:17" ht="12.75" customHeight="1">
      <c r="A1004" s="491"/>
      <c r="B1004" s="1009"/>
      <c r="C1004" s="981"/>
      <c r="D1004" s="982"/>
      <c r="E1004" s="983"/>
      <c r="F1004" s="990"/>
      <c r="G1004" s="991"/>
      <c r="H1004" s="991"/>
      <c r="I1004" s="992"/>
      <c r="J1004" s="867" t="s">
        <v>141</v>
      </c>
      <c r="K1004" s="958" t="s">
        <v>140</v>
      </c>
      <c r="L1004" s="959"/>
      <c r="M1004" s="501">
        <v>105571</v>
      </c>
      <c r="N1004" s="960" t="s">
        <v>140</v>
      </c>
      <c r="O1004" s="961"/>
      <c r="P1004" s="498" t="s">
        <v>140</v>
      </c>
      <c r="Q1004" s="498" t="s">
        <v>140</v>
      </c>
    </row>
    <row r="1005" spans="1:17" ht="12.75" customHeight="1">
      <c r="A1005" s="491"/>
      <c r="B1005" s="1009"/>
      <c r="C1005" s="981"/>
      <c r="D1005" s="982"/>
      <c r="E1005" s="983"/>
      <c r="F1005" s="987" t="s">
        <v>400</v>
      </c>
      <c r="G1005" s="988"/>
      <c r="H1005" s="988"/>
      <c r="I1005" s="989"/>
      <c r="J1005" s="863" t="s">
        <v>197</v>
      </c>
      <c r="K1005" s="975" t="s">
        <v>198</v>
      </c>
      <c r="L1005" s="976"/>
      <c r="M1005" s="497">
        <v>168105</v>
      </c>
      <c r="N1005" s="977">
        <v>29.47</v>
      </c>
      <c r="O1005" s="961"/>
      <c r="P1005" s="499">
        <v>29.47</v>
      </c>
      <c r="Q1005" s="499">
        <v>33.19</v>
      </c>
    </row>
    <row r="1006" spans="1:17" ht="12.75" customHeight="1">
      <c r="A1006" s="491"/>
      <c r="B1006" s="1009"/>
      <c r="C1006" s="981"/>
      <c r="D1006" s="982"/>
      <c r="E1006" s="983"/>
      <c r="F1006" s="990"/>
      <c r="G1006" s="991"/>
      <c r="H1006" s="991"/>
      <c r="I1006" s="992"/>
      <c r="J1006" s="867" t="s">
        <v>141</v>
      </c>
      <c r="K1006" s="958" t="s">
        <v>140</v>
      </c>
      <c r="L1006" s="959"/>
      <c r="M1006" s="501">
        <v>168105</v>
      </c>
      <c r="N1006" s="960" t="s">
        <v>140</v>
      </c>
      <c r="O1006" s="961"/>
      <c r="P1006" s="498" t="s">
        <v>140</v>
      </c>
      <c r="Q1006" s="498" t="s">
        <v>140</v>
      </c>
    </row>
    <row r="1007" spans="1:17" ht="12.75" customHeight="1">
      <c r="A1007" s="491"/>
      <c r="B1007" s="1009"/>
      <c r="C1007" s="981"/>
      <c r="D1007" s="982"/>
      <c r="E1007" s="983"/>
      <c r="F1007" s="987" t="s">
        <v>401</v>
      </c>
      <c r="G1007" s="988"/>
      <c r="H1007" s="988"/>
      <c r="I1007" s="989"/>
      <c r="J1007" s="863" t="s">
        <v>395</v>
      </c>
      <c r="K1007" s="975" t="s">
        <v>396</v>
      </c>
      <c r="L1007" s="976"/>
      <c r="M1007" s="497">
        <v>15713</v>
      </c>
      <c r="N1007" s="977">
        <v>111</v>
      </c>
      <c r="O1007" s="961"/>
      <c r="P1007" s="499">
        <v>111</v>
      </c>
      <c r="Q1007" s="499">
        <v>111.27</v>
      </c>
    </row>
    <row r="1008" spans="1:17" ht="12.75" customHeight="1">
      <c r="A1008" s="491"/>
      <c r="B1008" s="1009"/>
      <c r="C1008" s="981"/>
      <c r="D1008" s="982"/>
      <c r="E1008" s="983"/>
      <c r="F1008" s="990"/>
      <c r="G1008" s="991"/>
      <c r="H1008" s="991"/>
      <c r="I1008" s="992"/>
      <c r="J1008" s="867" t="s">
        <v>141</v>
      </c>
      <c r="K1008" s="958" t="s">
        <v>140</v>
      </c>
      <c r="L1008" s="959"/>
      <c r="M1008" s="501">
        <v>15713</v>
      </c>
      <c r="N1008" s="960" t="s">
        <v>140</v>
      </c>
      <c r="O1008" s="961"/>
      <c r="P1008" s="498" t="s">
        <v>140</v>
      </c>
      <c r="Q1008" s="498" t="s">
        <v>140</v>
      </c>
    </row>
    <row r="1009" spans="1:17" ht="12.75" customHeight="1">
      <c r="A1009" s="491"/>
      <c r="B1009" s="1009"/>
      <c r="C1009" s="981"/>
      <c r="D1009" s="982"/>
      <c r="E1009" s="983"/>
      <c r="F1009" s="987" t="s">
        <v>402</v>
      </c>
      <c r="G1009" s="988"/>
      <c r="H1009" s="988"/>
      <c r="I1009" s="989"/>
      <c r="J1009" s="863" t="s">
        <v>164</v>
      </c>
      <c r="K1009" s="975" t="s">
        <v>165</v>
      </c>
      <c r="L1009" s="976"/>
      <c r="M1009" s="497">
        <v>43087</v>
      </c>
      <c r="N1009" s="977">
        <v>38.74</v>
      </c>
      <c r="O1009" s="961"/>
      <c r="P1009" s="499">
        <v>38.74</v>
      </c>
      <c r="Q1009" s="499">
        <v>41.55</v>
      </c>
    </row>
    <row r="1010" spans="1:17" ht="12.75" customHeight="1">
      <c r="A1010" s="491"/>
      <c r="B1010" s="1009"/>
      <c r="C1010" s="981"/>
      <c r="D1010" s="982"/>
      <c r="E1010" s="983"/>
      <c r="F1010" s="990"/>
      <c r="G1010" s="991"/>
      <c r="H1010" s="991"/>
      <c r="I1010" s="992"/>
      <c r="J1010" s="867" t="s">
        <v>141</v>
      </c>
      <c r="K1010" s="958" t="s">
        <v>140</v>
      </c>
      <c r="L1010" s="959"/>
      <c r="M1010" s="501">
        <v>43087</v>
      </c>
      <c r="N1010" s="960" t="s">
        <v>140</v>
      </c>
      <c r="O1010" s="961"/>
      <c r="P1010" s="498" t="s">
        <v>140</v>
      </c>
      <c r="Q1010" s="498" t="s">
        <v>140</v>
      </c>
    </row>
    <row r="1011" spans="1:17" ht="12.75" customHeight="1">
      <c r="A1011" s="491"/>
      <c r="B1011" s="1009"/>
      <c r="C1011" s="981"/>
      <c r="D1011" s="982"/>
      <c r="E1011" s="983"/>
      <c r="F1011" s="966" t="s">
        <v>281</v>
      </c>
      <c r="G1011" s="967"/>
      <c r="H1011" s="967"/>
      <c r="I1011" s="968"/>
      <c r="J1011" s="863" t="s">
        <v>172</v>
      </c>
      <c r="K1011" s="975" t="s">
        <v>173</v>
      </c>
      <c r="L1011" s="976"/>
      <c r="M1011" s="497">
        <v>52561</v>
      </c>
      <c r="N1011" s="977">
        <v>68.37</v>
      </c>
      <c r="O1011" s="961"/>
      <c r="P1011" s="499">
        <v>68.37</v>
      </c>
      <c r="Q1011" s="499">
        <v>68.37</v>
      </c>
    </row>
    <row r="1012" spans="1:17" ht="12.75" customHeight="1">
      <c r="A1012" s="491"/>
      <c r="B1012" s="1009"/>
      <c r="C1012" s="981"/>
      <c r="D1012" s="982"/>
      <c r="E1012" s="983"/>
      <c r="F1012" s="969"/>
      <c r="G1012" s="970"/>
      <c r="H1012" s="970"/>
      <c r="I1012" s="971"/>
      <c r="J1012" s="863" t="s">
        <v>138</v>
      </c>
      <c r="K1012" s="975" t="s">
        <v>139</v>
      </c>
      <c r="L1012" s="976"/>
      <c r="M1012" s="497">
        <v>7256</v>
      </c>
      <c r="N1012" s="977">
        <v>2.2599999999999998</v>
      </c>
      <c r="O1012" s="961"/>
      <c r="P1012" s="499">
        <v>2.2599999999999998</v>
      </c>
      <c r="Q1012" s="499">
        <v>2.2599999999999998</v>
      </c>
    </row>
    <row r="1013" spans="1:17" ht="12.75" customHeight="1">
      <c r="A1013" s="491"/>
      <c r="B1013" s="1009"/>
      <c r="C1013" s="981"/>
      <c r="D1013" s="982"/>
      <c r="E1013" s="983"/>
      <c r="F1013" s="969"/>
      <c r="G1013" s="970"/>
      <c r="H1013" s="970"/>
      <c r="I1013" s="971"/>
      <c r="J1013" s="863" t="s">
        <v>321</v>
      </c>
      <c r="K1013" s="975" t="s">
        <v>322</v>
      </c>
      <c r="L1013" s="976"/>
      <c r="M1013" s="497">
        <v>16314</v>
      </c>
      <c r="N1013" s="977">
        <v>28.2</v>
      </c>
      <c r="O1013" s="961"/>
      <c r="P1013" s="499">
        <v>28.2</v>
      </c>
      <c r="Q1013" s="499">
        <v>28.2</v>
      </c>
    </row>
    <row r="1014" spans="1:17" ht="12.75" customHeight="1">
      <c r="A1014" s="491"/>
      <c r="B1014" s="1009"/>
      <c r="C1014" s="981"/>
      <c r="D1014" s="982"/>
      <c r="E1014" s="983"/>
      <c r="F1014" s="969"/>
      <c r="G1014" s="970"/>
      <c r="H1014" s="970"/>
      <c r="I1014" s="971"/>
      <c r="J1014" s="863" t="s">
        <v>158</v>
      </c>
      <c r="K1014" s="975" t="s">
        <v>159</v>
      </c>
      <c r="L1014" s="976"/>
      <c r="M1014" s="497">
        <v>14350</v>
      </c>
      <c r="N1014" s="977">
        <v>113</v>
      </c>
      <c r="O1014" s="961"/>
      <c r="P1014" s="499">
        <v>113</v>
      </c>
      <c r="Q1014" s="499">
        <v>113</v>
      </c>
    </row>
    <row r="1015" spans="1:17" ht="12.75" customHeight="1">
      <c r="A1015" s="491"/>
      <c r="B1015" s="1009"/>
      <c r="C1015" s="981"/>
      <c r="D1015" s="982"/>
      <c r="E1015" s="983"/>
      <c r="F1015" s="969"/>
      <c r="G1015" s="970"/>
      <c r="H1015" s="970"/>
      <c r="I1015" s="971"/>
      <c r="J1015" s="863" t="s">
        <v>323</v>
      </c>
      <c r="K1015" s="975" t="s">
        <v>324</v>
      </c>
      <c r="L1015" s="976"/>
      <c r="M1015" s="497">
        <v>16314</v>
      </c>
      <c r="N1015" s="977">
        <v>28.2</v>
      </c>
      <c r="O1015" s="961"/>
      <c r="P1015" s="499">
        <v>28.2</v>
      </c>
      <c r="Q1015" s="499">
        <v>28.2</v>
      </c>
    </row>
    <row r="1016" spans="1:17" ht="12.75" customHeight="1">
      <c r="A1016" s="491"/>
      <c r="B1016" s="1009"/>
      <c r="C1016" s="981"/>
      <c r="D1016" s="982"/>
      <c r="E1016" s="983"/>
      <c r="F1016" s="972"/>
      <c r="G1016" s="973"/>
      <c r="H1016" s="973"/>
      <c r="I1016" s="974"/>
      <c r="J1016" s="867" t="s">
        <v>141</v>
      </c>
      <c r="K1016" s="958" t="s">
        <v>140</v>
      </c>
      <c r="L1016" s="959"/>
      <c r="M1016" s="501">
        <v>106795</v>
      </c>
      <c r="N1016" s="960" t="s">
        <v>140</v>
      </c>
      <c r="O1016" s="961"/>
      <c r="P1016" s="498" t="s">
        <v>140</v>
      </c>
      <c r="Q1016" s="498" t="s">
        <v>140</v>
      </c>
    </row>
    <row r="1017" spans="1:17" ht="12.75" customHeight="1">
      <c r="A1017" s="491"/>
      <c r="B1017" s="1009"/>
      <c r="C1017" s="981"/>
      <c r="D1017" s="982"/>
      <c r="E1017" s="983"/>
      <c r="F1017" s="966" t="s">
        <v>403</v>
      </c>
      <c r="G1017" s="967"/>
      <c r="H1017" s="967"/>
      <c r="I1017" s="968"/>
      <c r="J1017" s="863" t="s">
        <v>188</v>
      </c>
      <c r="K1017" s="975" t="s">
        <v>189</v>
      </c>
      <c r="L1017" s="976"/>
      <c r="M1017" s="496" t="s">
        <v>140</v>
      </c>
      <c r="N1017" s="977">
        <v>10.74</v>
      </c>
      <c r="O1017" s="961"/>
      <c r="P1017" s="499">
        <v>10.74</v>
      </c>
      <c r="Q1017" s="499">
        <v>10.74</v>
      </c>
    </row>
    <row r="1018" spans="1:17" ht="12.75" customHeight="1">
      <c r="A1018" s="491"/>
      <c r="B1018" s="1009"/>
      <c r="C1018" s="981"/>
      <c r="D1018" s="982"/>
      <c r="E1018" s="983"/>
      <c r="F1018" s="969"/>
      <c r="G1018" s="970"/>
      <c r="H1018" s="970"/>
      <c r="I1018" s="971"/>
      <c r="J1018" s="863" t="s">
        <v>192</v>
      </c>
      <c r="K1018" s="975" t="s">
        <v>193</v>
      </c>
      <c r="L1018" s="976"/>
      <c r="M1018" s="497">
        <v>500000</v>
      </c>
      <c r="N1018" s="977">
        <v>10.74</v>
      </c>
      <c r="O1018" s="961"/>
      <c r="P1018" s="499">
        <v>10.74</v>
      </c>
      <c r="Q1018" s="499">
        <v>10.74</v>
      </c>
    </row>
    <row r="1019" spans="1:17" ht="12.75" customHeight="1">
      <c r="A1019" s="491"/>
      <c r="B1019" s="1009"/>
      <c r="C1019" s="981"/>
      <c r="D1019" s="982"/>
      <c r="E1019" s="983"/>
      <c r="F1019" s="969"/>
      <c r="G1019" s="970"/>
      <c r="H1019" s="970"/>
      <c r="I1019" s="971"/>
      <c r="J1019" s="863" t="s">
        <v>392</v>
      </c>
      <c r="K1019" s="975" t="s">
        <v>393</v>
      </c>
      <c r="L1019" s="976"/>
      <c r="M1019" s="496" t="s">
        <v>140</v>
      </c>
      <c r="N1019" s="977">
        <v>10.74</v>
      </c>
      <c r="O1019" s="961"/>
      <c r="P1019" s="499">
        <v>10.74</v>
      </c>
      <c r="Q1019" s="499">
        <v>10.74</v>
      </c>
    </row>
    <row r="1020" spans="1:17" ht="12.75" customHeight="1">
      <c r="A1020" s="491"/>
      <c r="B1020" s="1009"/>
      <c r="C1020" s="981"/>
      <c r="D1020" s="982"/>
      <c r="E1020" s="983"/>
      <c r="F1020" s="969"/>
      <c r="G1020" s="970"/>
      <c r="H1020" s="970"/>
      <c r="I1020" s="971"/>
      <c r="J1020" s="863" t="s">
        <v>144</v>
      </c>
      <c r="K1020" s="975" t="s">
        <v>145</v>
      </c>
      <c r="L1020" s="976"/>
      <c r="M1020" s="496" t="s">
        <v>140</v>
      </c>
      <c r="N1020" s="977">
        <v>10.74</v>
      </c>
      <c r="O1020" s="961"/>
      <c r="P1020" s="499">
        <v>10.74</v>
      </c>
      <c r="Q1020" s="499">
        <v>10.74</v>
      </c>
    </row>
    <row r="1021" spans="1:17" ht="12.75" customHeight="1">
      <c r="A1021" s="491"/>
      <c r="B1021" s="1009"/>
      <c r="C1021" s="981"/>
      <c r="D1021" s="982"/>
      <c r="E1021" s="983"/>
      <c r="F1021" s="972"/>
      <c r="G1021" s="973"/>
      <c r="H1021" s="973"/>
      <c r="I1021" s="974"/>
      <c r="J1021" s="867" t="s">
        <v>141</v>
      </c>
      <c r="K1021" s="958" t="s">
        <v>140</v>
      </c>
      <c r="L1021" s="959"/>
      <c r="M1021" s="501">
        <v>500000</v>
      </c>
      <c r="N1021" s="960" t="s">
        <v>140</v>
      </c>
      <c r="O1021" s="961"/>
      <c r="P1021" s="498" t="s">
        <v>140</v>
      </c>
      <c r="Q1021" s="498" t="s">
        <v>140</v>
      </c>
    </row>
    <row r="1022" spans="1:17" ht="12.75" customHeight="1">
      <c r="A1022" s="491"/>
      <c r="B1022" s="1009"/>
      <c r="C1022" s="984"/>
      <c r="D1022" s="985"/>
      <c r="E1022" s="986"/>
      <c r="F1022" s="962" t="s">
        <v>140</v>
      </c>
      <c r="G1022" s="958"/>
      <c r="H1022" s="958"/>
      <c r="I1022" s="959"/>
      <c r="J1022" s="867" t="s">
        <v>247</v>
      </c>
      <c r="K1022" s="958" t="s">
        <v>140</v>
      </c>
      <c r="L1022" s="959"/>
      <c r="M1022" s="501">
        <v>1295650</v>
      </c>
      <c r="N1022" s="960" t="s">
        <v>140</v>
      </c>
      <c r="O1022" s="961"/>
      <c r="P1022" s="498" t="s">
        <v>140</v>
      </c>
      <c r="Q1022" s="498" t="s">
        <v>140</v>
      </c>
    </row>
    <row r="1023" spans="1:17" ht="12.75" customHeight="1">
      <c r="A1023" s="491"/>
      <c r="B1023" s="1010"/>
      <c r="C1023" s="963" t="s">
        <v>140</v>
      </c>
      <c r="D1023" s="964"/>
      <c r="E1023" s="965"/>
      <c r="F1023" s="962" t="s">
        <v>140</v>
      </c>
      <c r="G1023" s="958"/>
      <c r="H1023" s="958"/>
      <c r="I1023" s="959"/>
      <c r="J1023" s="867" t="s">
        <v>301</v>
      </c>
      <c r="K1023" s="958" t="s">
        <v>140</v>
      </c>
      <c r="L1023" s="959"/>
      <c r="M1023" s="501">
        <v>1617779</v>
      </c>
      <c r="N1023" s="960" t="s">
        <v>140</v>
      </c>
      <c r="O1023" s="961"/>
      <c r="P1023" s="498" t="s">
        <v>140</v>
      </c>
      <c r="Q1023" s="498" t="s">
        <v>140</v>
      </c>
    </row>
    <row r="1025" spans="1:19">
      <c r="M1025" s="515"/>
    </row>
    <row r="1026" spans="1:19" s="491" customFormat="1" ht="15">
      <c r="A1026" s="865" t="s">
        <v>123</v>
      </c>
      <c r="B1026" s="866">
        <v>46204</v>
      </c>
      <c r="C1026"/>
      <c r="D1026"/>
      <c r="F1026"/>
      <c r="G1026"/>
      <c r="H1026"/>
      <c r="I1026"/>
      <c r="N1026" s="1014"/>
      <c r="O1026" s="1221"/>
      <c r="P1026" s="1221"/>
      <c r="Q1026" s="1221"/>
      <c r="R1026" s="1221"/>
      <c r="S1026" s="1221"/>
    </row>
    <row r="1027" spans="1:19" s="491" customFormat="1" ht="15">
      <c r="A1027" s="865" t="s">
        <v>124</v>
      </c>
      <c r="B1027" s="866">
        <v>46568</v>
      </c>
      <c r="N1027" s="1221"/>
      <c r="O1027" s="1221"/>
      <c r="P1027" s="1221"/>
      <c r="Q1027" s="1221"/>
      <c r="R1027" s="1221"/>
      <c r="S1027" s="1221"/>
    </row>
    <row r="1028" spans="1:19" s="491" customFormat="1" ht="15" customHeight="1">
      <c r="I1028" s="1021"/>
      <c r="J1028" s="1221"/>
      <c r="N1028" s="1221"/>
      <c r="O1028" s="1221"/>
      <c r="P1028" s="1221"/>
      <c r="Q1028" s="1221"/>
      <c r="R1028" s="1221"/>
      <c r="S1028" s="1221"/>
    </row>
    <row r="1029" spans="1:19" s="491" customFormat="1" ht="16.5" customHeight="1">
      <c r="A1029" s="869" t="s">
        <v>125</v>
      </c>
      <c r="B1029" s="869" t="s">
        <v>404</v>
      </c>
    </row>
    <row r="1030" spans="1:19" s="491" customFormat="1" ht="71.25">
      <c r="B1030" s="734" t="s">
        <v>127</v>
      </c>
      <c r="C1030" s="1022" t="s">
        <v>128</v>
      </c>
      <c r="D1030" s="1023"/>
      <c r="E1030" s="1024"/>
      <c r="F1030" s="1022" t="s">
        <v>129</v>
      </c>
      <c r="G1030" s="1023"/>
      <c r="H1030" s="1023"/>
      <c r="I1030" s="1024"/>
      <c r="J1030" s="734" t="s">
        <v>130</v>
      </c>
      <c r="K1030" s="1022" t="s">
        <v>131</v>
      </c>
      <c r="L1030" s="1024"/>
      <c r="M1030" s="734" t="s">
        <v>132</v>
      </c>
      <c r="N1030" s="1022" t="s">
        <v>133</v>
      </c>
      <c r="O1030" s="1024"/>
      <c r="P1030" s="734" t="s">
        <v>134</v>
      </c>
      <c r="Q1030" s="734" t="s">
        <v>405</v>
      </c>
    </row>
    <row r="1031" spans="1:19" s="491" customFormat="1" ht="15">
      <c r="B1031" s="1025">
        <v>5</v>
      </c>
      <c r="C1031" s="1028" t="s">
        <v>136</v>
      </c>
      <c r="D1031" s="1029"/>
      <c r="E1031" s="1030"/>
      <c r="F1031" s="1036" t="s">
        <v>224</v>
      </c>
      <c r="G1031" s="1037"/>
      <c r="H1031" s="1037"/>
      <c r="I1031" s="1038"/>
      <c r="J1031" s="735" t="s">
        <v>382</v>
      </c>
      <c r="K1031" s="1044" t="s">
        <v>383</v>
      </c>
      <c r="L1031" s="1045"/>
      <c r="M1031" s="736">
        <v>218640.12</v>
      </c>
      <c r="N1031" s="1046">
        <v>8.0299999999999994</v>
      </c>
      <c r="O1031" s="1047"/>
      <c r="P1031" s="736">
        <v>8.0299999999999994</v>
      </c>
      <c r="Q1031" s="736">
        <v>8.0299999999999994</v>
      </c>
    </row>
    <row r="1032" spans="1:19" s="491" customFormat="1" ht="15">
      <c r="B1032" s="1026"/>
      <c r="C1032" s="1031"/>
      <c r="D1032" s="1221"/>
      <c r="E1032" s="1032"/>
      <c r="F1032" s="1039"/>
      <c r="G1032" s="1221"/>
      <c r="H1032" s="1221"/>
      <c r="I1032" s="1040"/>
      <c r="J1032" s="735" t="s">
        <v>384</v>
      </c>
      <c r="K1032" s="1044" t="s">
        <v>385</v>
      </c>
      <c r="L1032" s="1045"/>
      <c r="M1032" s="736">
        <v>0</v>
      </c>
      <c r="N1032" s="1046">
        <v>8.0299999999999994</v>
      </c>
      <c r="O1032" s="1047"/>
      <c r="P1032" s="736">
        <v>8.0299999999999994</v>
      </c>
      <c r="Q1032" s="736">
        <v>8.0299999999999994</v>
      </c>
    </row>
    <row r="1033" spans="1:19" s="491" customFormat="1" ht="15">
      <c r="B1033" s="1026"/>
      <c r="C1033" s="1031"/>
      <c r="D1033" s="1221"/>
      <c r="E1033" s="1032"/>
      <c r="F1033" s="1039"/>
      <c r="G1033" s="1221"/>
      <c r="H1033" s="1221"/>
      <c r="I1033" s="1040"/>
      <c r="J1033" s="735" t="s">
        <v>386</v>
      </c>
      <c r="K1033" s="1044" t="s">
        <v>387</v>
      </c>
      <c r="L1033" s="1045"/>
      <c r="M1033" s="736">
        <v>0</v>
      </c>
      <c r="N1033" s="1046">
        <v>8.0299999999999994</v>
      </c>
      <c r="O1033" s="1047"/>
      <c r="P1033" s="736">
        <v>8.0299999999999994</v>
      </c>
      <c r="Q1033" s="736">
        <v>8.0299999999999994</v>
      </c>
    </row>
    <row r="1034" spans="1:19" s="491" customFormat="1" ht="15">
      <c r="B1034" s="1026"/>
      <c r="C1034" s="1031"/>
      <c r="D1034" s="1221"/>
      <c r="E1034" s="1032"/>
      <c r="F1034" s="1039"/>
      <c r="G1034" s="1221"/>
      <c r="H1034" s="1221"/>
      <c r="I1034" s="1040"/>
      <c r="J1034" s="735" t="s">
        <v>388</v>
      </c>
      <c r="K1034" s="1044" t="s">
        <v>389</v>
      </c>
      <c r="L1034" s="1045"/>
      <c r="M1034" s="736">
        <v>0</v>
      </c>
      <c r="N1034" s="1046">
        <v>8.0299999999999994</v>
      </c>
      <c r="O1034" s="1047"/>
      <c r="P1034" s="736">
        <v>8.0299999999999994</v>
      </c>
      <c r="Q1034" s="736">
        <v>8.0299999999999994</v>
      </c>
    </row>
    <row r="1035" spans="1:19" s="491" customFormat="1" ht="15">
      <c r="B1035" s="1026"/>
      <c r="C1035" s="1031"/>
      <c r="D1035" s="1221"/>
      <c r="E1035" s="1032"/>
      <c r="F1035" s="1039"/>
      <c r="G1035" s="1221"/>
      <c r="H1035" s="1221"/>
      <c r="I1035" s="1040"/>
      <c r="J1035" s="735" t="s">
        <v>390</v>
      </c>
      <c r="K1035" s="1044" t="s">
        <v>391</v>
      </c>
      <c r="L1035" s="1045"/>
      <c r="M1035" s="736">
        <v>0</v>
      </c>
      <c r="N1035" s="1046">
        <v>8.0299999999999994</v>
      </c>
      <c r="O1035" s="1047"/>
      <c r="P1035" s="736">
        <v>8.0299999999999994</v>
      </c>
      <c r="Q1035" s="736">
        <v>8.0299999999999994</v>
      </c>
    </row>
    <row r="1036" spans="1:19" s="491" customFormat="1" ht="15">
      <c r="B1036" s="1026"/>
      <c r="C1036" s="1031"/>
      <c r="D1036" s="1221"/>
      <c r="E1036" s="1032"/>
      <c r="F1036" s="1039"/>
      <c r="G1036" s="1221"/>
      <c r="H1036" s="1221"/>
      <c r="I1036" s="1040"/>
      <c r="J1036" s="735" t="s">
        <v>188</v>
      </c>
      <c r="K1036" s="1044" t="s">
        <v>189</v>
      </c>
      <c r="L1036" s="1045"/>
      <c r="M1036" s="736">
        <v>0</v>
      </c>
      <c r="N1036" s="1046">
        <v>9.3000000000000007</v>
      </c>
      <c r="O1036" s="1047"/>
      <c r="P1036" s="736">
        <v>9.3000000000000007</v>
      </c>
      <c r="Q1036" s="736">
        <v>9.3000000000000007</v>
      </c>
    </row>
    <row r="1037" spans="1:19" s="491" customFormat="1" ht="15">
      <c r="B1037" s="1026"/>
      <c r="C1037" s="1031"/>
      <c r="D1037" s="1221"/>
      <c r="E1037" s="1032"/>
      <c r="F1037" s="1039"/>
      <c r="G1037" s="1221"/>
      <c r="H1037" s="1221"/>
      <c r="I1037" s="1040"/>
      <c r="J1037" s="735" t="s">
        <v>406</v>
      </c>
      <c r="K1037" s="1044" t="s">
        <v>407</v>
      </c>
      <c r="L1037" s="1045"/>
      <c r="M1037" s="736">
        <v>840</v>
      </c>
      <c r="N1037" s="1046">
        <v>2.64</v>
      </c>
      <c r="O1037" s="1047"/>
      <c r="P1037" s="736">
        <v>2.64</v>
      </c>
      <c r="Q1037" s="736">
        <v>2.64</v>
      </c>
    </row>
    <row r="1038" spans="1:19" s="491" customFormat="1" ht="15">
      <c r="B1038" s="1026"/>
      <c r="C1038" s="1031"/>
      <c r="D1038" s="1221"/>
      <c r="E1038" s="1032"/>
      <c r="F1038" s="1039"/>
      <c r="G1038" s="1221"/>
      <c r="H1038" s="1221"/>
      <c r="I1038" s="1040"/>
      <c r="J1038" s="735" t="s">
        <v>258</v>
      </c>
      <c r="K1038" s="1044" t="s">
        <v>259</v>
      </c>
      <c r="L1038" s="1045"/>
      <c r="M1038" s="736">
        <v>2479</v>
      </c>
      <c r="N1038" s="1046">
        <v>90.99</v>
      </c>
      <c r="O1038" s="1047"/>
      <c r="P1038" s="736">
        <v>90.99</v>
      </c>
      <c r="Q1038" s="736">
        <v>90.99</v>
      </c>
    </row>
    <row r="1039" spans="1:19" s="491" customFormat="1" ht="15">
      <c r="B1039" s="1026"/>
      <c r="C1039" s="1031"/>
      <c r="D1039" s="1221"/>
      <c r="E1039" s="1032"/>
      <c r="F1039" s="1039"/>
      <c r="G1039" s="1221"/>
      <c r="H1039" s="1221"/>
      <c r="I1039" s="1040"/>
      <c r="J1039" s="735" t="s">
        <v>408</v>
      </c>
      <c r="K1039" s="1044" t="s">
        <v>409</v>
      </c>
      <c r="L1039" s="1045"/>
      <c r="M1039" s="736">
        <v>6624</v>
      </c>
      <c r="N1039" s="1046">
        <v>18.239999999999998</v>
      </c>
      <c r="O1039" s="1047"/>
      <c r="P1039" s="736">
        <v>18.239999999999998</v>
      </c>
      <c r="Q1039" s="736">
        <v>18.239999999999998</v>
      </c>
    </row>
    <row r="1040" spans="1:19" s="491" customFormat="1" ht="15">
      <c r="B1040" s="1026"/>
      <c r="C1040" s="1031"/>
      <c r="D1040" s="1221"/>
      <c r="E1040" s="1032"/>
      <c r="F1040" s="1039"/>
      <c r="G1040" s="1221"/>
      <c r="H1040" s="1221"/>
      <c r="I1040" s="1040"/>
      <c r="J1040" s="735" t="s">
        <v>410</v>
      </c>
      <c r="K1040" s="1044" t="s">
        <v>411</v>
      </c>
      <c r="L1040" s="1045"/>
      <c r="M1040" s="736">
        <v>0</v>
      </c>
      <c r="N1040" s="1046">
        <v>26.75</v>
      </c>
      <c r="O1040" s="1047"/>
      <c r="P1040" s="736">
        <v>26.75</v>
      </c>
      <c r="Q1040" s="736">
        <v>26.75</v>
      </c>
    </row>
    <row r="1041" spans="2:17" s="491" customFormat="1" ht="25.5">
      <c r="B1041" s="1026"/>
      <c r="C1041" s="1031"/>
      <c r="D1041" s="1221"/>
      <c r="E1041" s="1032"/>
      <c r="F1041" s="1041"/>
      <c r="G1041" s="1042"/>
      <c r="H1041" s="1042"/>
      <c r="I1041" s="1043"/>
      <c r="J1041" s="738" t="s">
        <v>141</v>
      </c>
      <c r="K1041" s="1036" t="s">
        <v>412</v>
      </c>
      <c r="L1041" s="1045"/>
      <c r="M1041" s="739">
        <v>228583.12</v>
      </c>
      <c r="N1041" s="1048" t="s">
        <v>412</v>
      </c>
      <c r="O1041" s="1047"/>
      <c r="P1041" s="737" t="s">
        <v>412</v>
      </c>
      <c r="Q1041" s="737" t="s">
        <v>412</v>
      </c>
    </row>
    <row r="1042" spans="2:17" s="491" customFormat="1" ht="25.5">
      <c r="B1042" s="1026"/>
      <c r="C1042" s="1033"/>
      <c r="D1042" s="1034"/>
      <c r="E1042" s="1035"/>
      <c r="F1042" s="1049" t="s">
        <v>412</v>
      </c>
      <c r="G1042" s="1050"/>
      <c r="H1042" s="1050"/>
      <c r="I1042" s="1045"/>
      <c r="J1042" s="740" t="s">
        <v>247</v>
      </c>
      <c r="K1042" s="1049" t="s">
        <v>412</v>
      </c>
      <c r="L1042" s="1045"/>
      <c r="M1042" s="739">
        <v>228583.12</v>
      </c>
      <c r="N1042" s="1048" t="s">
        <v>412</v>
      </c>
      <c r="O1042" s="1047"/>
      <c r="P1042" s="737" t="s">
        <v>412</v>
      </c>
      <c r="Q1042" s="737" t="s">
        <v>412</v>
      </c>
    </row>
    <row r="1043" spans="2:17" s="491" customFormat="1" ht="15">
      <c r="B1043" s="1026"/>
      <c r="C1043" s="1028" t="s">
        <v>248</v>
      </c>
      <c r="D1043" s="1029"/>
      <c r="E1043" s="1030"/>
      <c r="F1043" s="1036" t="s">
        <v>398</v>
      </c>
      <c r="G1043" s="1037"/>
      <c r="H1043" s="1037"/>
      <c r="I1043" s="1038"/>
      <c r="J1043" s="735" t="s">
        <v>382</v>
      </c>
      <c r="K1043" s="1044" t="s">
        <v>383</v>
      </c>
      <c r="L1043" s="1045"/>
      <c r="M1043" s="736">
        <v>438400.28</v>
      </c>
      <c r="N1043" s="1046">
        <v>9.42</v>
      </c>
      <c r="O1043" s="1047"/>
      <c r="P1043" s="736">
        <v>9.42</v>
      </c>
      <c r="Q1043" s="736">
        <v>9.42</v>
      </c>
    </row>
    <row r="1044" spans="2:17" s="491" customFormat="1" ht="15">
      <c r="B1044" s="1026"/>
      <c r="C1044" s="1031"/>
      <c r="D1044" s="1221"/>
      <c r="E1044" s="1032"/>
      <c r="F1044" s="1039"/>
      <c r="G1044" s="1221"/>
      <c r="H1044" s="1221"/>
      <c r="I1044" s="1040"/>
      <c r="J1044" s="735" t="s">
        <v>384</v>
      </c>
      <c r="K1044" s="1044" t="s">
        <v>385</v>
      </c>
      <c r="L1044" s="1045"/>
      <c r="M1044" s="736">
        <v>0</v>
      </c>
      <c r="N1044" s="1046">
        <v>9.42</v>
      </c>
      <c r="O1044" s="1047"/>
      <c r="P1044" s="736">
        <v>9.42</v>
      </c>
      <c r="Q1044" s="736">
        <v>9.42</v>
      </c>
    </row>
    <row r="1045" spans="2:17" s="491" customFormat="1" ht="15">
      <c r="B1045" s="1026"/>
      <c r="C1045" s="1031"/>
      <c r="D1045" s="1221"/>
      <c r="E1045" s="1032"/>
      <c r="F1045" s="1039"/>
      <c r="G1045" s="1221"/>
      <c r="H1045" s="1221"/>
      <c r="I1045" s="1040"/>
      <c r="J1045" s="735" t="s">
        <v>386</v>
      </c>
      <c r="K1045" s="1044" t="s">
        <v>387</v>
      </c>
      <c r="L1045" s="1045"/>
      <c r="M1045" s="736">
        <v>0</v>
      </c>
      <c r="N1045" s="1046">
        <v>9.42</v>
      </c>
      <c r="O1045" s="1047"/>
      <c r="P1045" s="736">
        <v>9.42</v>
      </c>
      <c r="Q1045" s="736">
        <v>9.42</v>
      </c>
    </row>
    <row r="1046" spans="2:17" s="491" customFormat="1" ht="15">
      <c r="B1046" s="1026"/>
      <c r="C1046" s="1031"/>
      <c r="D1046" s="1221"/>
      <c r="E1046" s="1032"/>
      <c r="F1046" s="1039"/>
      <c r="G1046" s="1221"/>
      <c r="H1046" s="1221"/>
      <c r="I1046" s="1040"/>
      <c r="J1046" s="735" t="s">
        <v>388</v>
      </c>
      <c r="K1046" s="1044" t="s">
        <v>389</v>
      </c>
      <c r="L1046" s="1045"/>
      <c r="M1046" s="736">
        <v>0</v>
      </c>
      <c r="N1046" s="1046">
        <v>9.42</v>
      </c>
      <c r="O1046" s="1047"/>
      <c r="P1046" s="736">
        <v>9.42</v>
      </c>
      <c r="Q1046" s="736">
        <v>9.42</v>
      </c>
    </row>
    <row r="1047" spans="2:17" s="491" customFormat="1" ht="15">
      <c r="B1047" s="1026"/>
      <c r="C1047" s="1031"/>
      <c r="D1047" s="1221"/>
      <c r="E1047" s="1032"/>
      <c r="F1047" s="1039"/>
      <c r="G1047" s="1221"/>
      <c r="H1047" s="1221"/>
      <c r="I1047" s="1040"/>
      <c r="J1047" s="735" t="s">
        <v>390</v>
      </c>
      <c r="K1047" s="1044" t="s">
        <v>391</v>
      </c>
      <c r="L1047" s="1045"/>
      <c r="M1047" s="736">
        <v>0</v>
      </c>
      <c r="N1047" s="1046">
        <v>9.42</v>
      </c>
      <c r="O1047" s="1047"/>
      <c r="P1047" s="736">
        <v>9.42</v>
      </c>
      <c r="Q1047" s="736">
        <v>9.42</v>
      </c>
    </row>
    <row r="1048" spans="2:17" s="491" customFormat="1" ht="15">
      <c r="B1048" s="1026"/>
      <c r="C1048" s="1031"/>
      <c r="D1048" s="1221"/>
      <c r="E1048" s="1032"/>
      <c r="F1048" s="1039"/>
      <c r="G1048" s="1221"/>
      <c r="H1048" s="1221"/>
      <c r="I1048" s="1040"/>
      <c r="J1048" s="735" t="s">
        <v>406</v>
      </c>
      <c r="K1048" s="1044" t="s">
        <v>407</v>
      </c>
      <c r="L1048" s="1045"/>
      <c r="M1048" s="736">
        <v>4230</v>
      </c>
      <c r="N1048" s="1046">
        <v>5.64</v>
      </c>
      <c r="O1048" s="1047"/>
      <c r="P1048" s="736">
        <v>5.64</v>
      </c>
      <c r="Q1048" s="736">
        <v>5.64</v>
      </c>
    </row>
    <row r="1049" spans="2:17" s="491" customFormat="1" ht="15">
      <c r="B1049" s="1026"/>
      <c r="C1049" s="1031"/>
      <c r="D1049" s="1221"/>
      <c r="E1049" s="1032"/>
      <c r="F1049" s="1039"/>
      <c r="G1049" s="1221"/>
      <c r="H1049" s="1221"/>
      <c r="I1049" s="1040"/>
      <c r="J1049" s="735" t="s">
        <v>258</v>
      </c>
      <c r="K1049" s="1044" t="s">
        <v>259</v>
      </c>
      <c r="L1049" s="1045"/>
      <c r="M1049" s="736">
        <v>25910</v>
      </c>
      <c r="N1049" s="1046">
        <v>74.03</v>
      </c>
      <c r="O1049" s="1047"/>
      <c r="P1049" s="736">
        <v>74.03</v>
      </c>
      <c r="Q1049" s="736">
        <v>74.03</v>
      </c>
    </row>
    <row r="1050" spans="2:17" s="491" customFormat="1" ht="15">
      <c r="B1050" s="1026"/>
      <c r="C1050" s="1031"/>
      <c r="D1050" s="1221"/>
      <c r="E1050" s="1032"/>
      <c r="F1050" s="1039"/>
      <c r="G1050" s="1221"/>
      <c r="H1050" s="1221"/>
      <c r="I1050" s="1040"/>
      <c r="J1050" s="735" t="s">
        <v>408</v>
      </c>
      <c r="K1050" s="1044" t="s">
        <v>409</v>
      </c>
      <c r="L1050" s="1045"/>
      <c r="M1050" s="736">
        <v>8588</v>
      </c>
      <c r="N1050" s="1046">
        <v>22.6</v>
      </c>
      <c r="O1050" s="1047"/>
      <c r="P1050" s="736">
        <v>22.6</v>
      </c>
      <c r="Q1050" s="736">
        <v>22.6</v>
      </c>
    </row>
    <row r="1051" spans="2:17" s="491" customFormat="1" ht="15">
      <c r="B1051" s="1026"/>
      <c r="C1051" s="1031"/>
      <c r="D1051" s="1221"/>
      <c r="E1051" s="1032"/>
      <c r="F1051" s="1039"/>
      <c r="G1051" s="1221"/>
      <c r="H1051" s="1221"/>
      <c r="I1051" s="1040"/>
      <c r="J1051" s="735" t="s">
        <v>410</v>
      </c>
      <c r="K1051" s="1044" t="s">
        <v>411</v>
      </c>
      <c r="L1051" s="1045"/>
      <c r="M1051" s="736">
        <v>0</v>
      </c>
      <c r="N1051" s="1046">
        <v>26.75</v>
      </c>
      <c r="O1051" s="1047"/>
      <c r="P1051" s="736">
        <v>26.75</v>
      </c>
      <c r="Q1051" s="736">
        <v>26.75</v>
      </c>
    </row>
    <row r="1052" spans="2:17" s="491" customFormat="1" ht="25.5">
      <c r="B1052" s="1026"/>
      <c r="C1052" s="1031"/>
      <c r="D1052" s="1221"/>
      <c r="E1052" s="1032"/>
      <c r="F1052" s="1041"/>
      <c r="G1052" s="1042"/>
      <c r="H1052" s="1042"/>
      <c r="I1052" s="1043"/>
      <c r="J1052" s="738" t="s">
        <v>141</v>
      </c>
      <c r="K1052" s="1036" t="s">
        <v>412</v>
      </c>
      <c r="L1052" s="1045"/>
      <c r="M1052" s="739">
        <v>477128.28</v>
      </c>
      <c r="N1052" s="1048" t="s">
        <v>412</v>
      </c>
      <c r="O1052" s="1047"/>
      <c r="P1052" s="737" t="s">
        <v>412</v>
      </c>
      <c r="Q1052" s="737" t="s">
        <v>412</v>
      </c>
    </row>
    <row r="1053" spans="2:17" s="491" customFormat="1" ht="25.5">
      <c r="B1053" s="1026"/>
      <c r="C1053" s="1033"/>
      <c r="D1053" s="1034"/>
      <c r="E1053" s="1035"/>
      <c r="F1053" s="1049" t="s">
        <v>412</v>
      </c>
      <c r="G1053" s="1050"/>
      <c r="H1053" s="1050"/>
      <c r="I1053" s="1045"/>
      <c r="J1053" s="740" t="s">
        <v>247</v>
      </c>
      <c r="K1053" s="1049" t="s">
        <v>412</v>
      </c>
      <c r="L1053" s="1045"/>
      <c r="M1053" s="739">
        <v>477128.28</v>
      </c>
      <c r="N1053" s="1048" t="s">
        <v>412</v>
      </c>
      <c r="O1053" s="1047"/>
      <c r="P1053" s="737" t="s">
        <v>412</v>
      </c>
      <c r="Q1053" s="737" t="s">
        <v>412</v>
      </c>
    </row>
    <row r="1054" spans="2:17" s="491" customFormat="1" ht="25.5">
      <c r="B1054" s="1027"/>
      <c r="C1054" s="1028" t="s">
        <v>412</v>
      </c>
      <c r="D1054" s="1051"/>
      <c r="E1054" s="1052"/>
      <c r="F1054" s="1049" t="s">
        <v>412</v>
      </c>
      <c r="G1054" s="1050"/>
      <c r="H1054" s="1050"/>
      <c r="I1054" s="1045"/>
      <c r="J1054" s="740" t="s">
        <v>301</v>
      </c>
      <c r="K1054" s="1049" t="s">
        <v>412</v>
      </c>
      <c r="L1054" s="1045"/>
      <c r="M1054" s="739">
        <v>705711.4</v>
      </c>
      <c r="N1054" s="1048" t="s">
        <v>412</v>
      </c>
      <c r="O1054" s="1047"/>
      <c r="P1054" s="737" t="s">
        <v>412</v>
      </c>
      <c r="Q1054" s="737" t="s">
        <v>412</v>
      </c>
    </row>
    <row r="1057" spans="1:17" ht="15">
      <c r="A1057" s="869" t="s">
        <v>413</v>
      </c>
      <c r="B1057" s="869" t="s">
        <v>414</v>
      </c>
    </row>
    <row r="1058" spans="1:17" ht="71.25">
      <c r="B1058" s="734" t="s">
        <v>127</v>
      </c>
      <c r="C1058" s="1022" t="s">
        <v>128</v>
      </c>
      <c r="D1058" s="1023"/>
      <c r="E1058" s="1024"/>
      <c r="F1058" s="1022" t="s">
        <v>129</v>
      </c>
      <c r="G1058" s="1023"/>
      <c r="H1058" s="1023"/>
      <c r="I1058" s="1024"/>
      <c r="J1058" s="734" t="s">
        <v>130</v>
      </c>
      <c r="K1058" s="1022" t="s">
        <v>131</v>
      </c>
      <c r="L1058" s="1024"/>
      <c r="M1058" s="734" t="s">
        <v>132</v>
      </c>
      <c r="N1058" s="1022" t="s">
        <v>133</v>
      </c>
      <c r="O1058" s="1024"/>
      <c r="P1058" s="734" t="s">
        <v>134</v>
      </c>
      <c r="Q1058" s="734" t="s">
        <v>405</v>
      </c>
    </row>
    <row r="1059" spans="1:17" ht="15">
      <c r="B1059" s="1025">
        <v>5</v>
      </c>
      <c r="C1059" s="1028" t="s">
        <v>136</v>
      </c>
      <c r="D1059" s="1029"/>
      <c r="E1059" s="1030"/>
      <c r="F1059" s="1036" t="s">
        <v>224</v>
      </c>
      <c r="G1059" s="1037"/>
      <c r="H1059" s="1037"/>
      <c r="I1059" s="1038"/>
      <c r="J1059" s="735" t="s">
        <v>188</v>
      </c>
      <c r="K1059" s="1044" t="s">
        <v>189</v>
      </c>
      <c r="L1059" s="1045"/>
      <c r="M1059" s="736">
        <v>0</v>
      </c>
      <c r="N1059" s="1046">
        <v>9.3000000000000007</v>
      </c>
      <c r="O1059" s="1047"/>
      <c r="P1059" s="736">
        <v>9.3000000000000007</v>
      </c>
      <c r="Q1059" s="736">
        <v>9.3000000000000007</v>
      </c>
    </row>
    <row r="1060" spans="1:17" ht="15">
      <c r="B1060" s="1026"/>
      <c r="C1060" s="1031"/>
      <c r="D1060" s="1221"/>
      <c r="E1060" s="1032"/>
      <c r="F1060" s="1039"/>
      <c r="G1060" s="1221"/>
      <c r="H1060" s="1221"/>
      <c r="I1060" s="1040"/>
      <c r="J1060" s="735" t="s">
        <v>192</v>
      </c>
      <c r="K1060" s="1044" t="s">
        <v>193</v>
      </c>
      <c r="L1060" s="1045"/>
      <c r="M1060" s="736">
        <v>893783.68</v>
      </c>
      <c r="N1060" s="1046">
        <v>9.3000000000000007</v>
      </c>
      <c r="O1060" s="1047"/>
      <c r="P1060" s="736">
        <v>9.3000000000000007</v>
      </c>
      <c r="Q1060" s="736">
        <v>9.3000000000000007</v>
      </c>
    </row>
    <row r="1061" spans="1:17" ht="15">
      <c r="B1061" s="1026"/>
      <c r="C1061" s="1031"/>
      <c r="D1061" s="1221"/>
      <c r="E1061" s="1032"/>
      <c r="F1061" s="1039"/>
      <c r="G1061" s="1221"/>
      <c r="H1061" s="1221"/>
      <c r="I1061" s="1040"/>
      <c r="J1061" s="735" t="s">
        <v>392</v>
      </c>
      <c r="K1061" s="1044" t="s">
        <v>393</v>
      </c>
      <c r="L1061" s="1045"/>
      <c r="M1061" s="736">
        <v>0</v>
      </c>
      <c r="N1061" s="1046">
        <v>9.3000000000000007</v>
      </c>
      <c r="O1061" s="1047"/>
      <c r="P1061" s="736">
        <v>9.3000000000000007</v>
      </c>
      <c r="Q1061" s="736">
        <v>9.3000000000000007</v>
      </c>
    </row>
    <row r="1062" spans="1:17" ht="15">
      <c r="B1062" s="1026"/>
      <c r="C1062" s="1031"/>
      <c r="D1062" s="1221"/>
      <c r="E1062" s="1032"/>
      <c r="F1062" s="1039"/>
      <c r="G1062" s="1221"/>
      <c r="H1062" s="1221"/>
      <c r="I1062" s="1040"/>
      <c r="J1062" s="735" t="s">
        <v>406</v>
      </c>
      <c r="K1062" s="1044" t="s">
        <v>407</v>
      </c>
      <c r="L1062" s="1045"/>
      <c r="M1062" s="736">
        <v>960</v>
      </c>
      <c r="N1062" s="1046">
        <v>2.64</v>
      </c>
      <c r="O1062" s="1047"/>
      <c r="P1062" s="736">
        <v>2.64</v>
      </c>
      <c r="Q1062" s="736">
        <v>2.64</v>
      </c>
    </row>
    <row r="1063" spans="1:17" ht="15">
      <c r="B1063" s="1026"/>
      <c r="C1063" s="1031"/>
      <c r="D1063" s="1221"/>
      <c r="E1063" s="1032"/>
      <c r="F1063" s="1039"/>
      <c r="G1063" s="1221"/>
      <c r="H1063" s="1221"/>
      <c r="I1063" s="1040"/>
      <c r="J1063" s="735" t="s">
        <v>258</v>
      </c>
      <c r="K1063" s="1044" t="s">
        <v>259</v>
      </c>
      <c r="L1063" s="1045"/>
      <c r="M1063" s="736">
        <v>4976</v>
      </c>
      <c r="N1063" s="1046">
        <v>91.34</v>
      </c>
      <c r="O1063" s="1047"/>
      <c r="P1063" s="736">
        <v>91.34</v>
      </c>
      <c r="Q1063" s="736">
        <v>91.34</v>
      </c>
    </row>
    <row r="1064" spans="1:17" ht="15">
      <c r="B1064" s="1026"/>
      <c r="C1064" s="1031"/>
      <c r="D1064" s="1221"/>
      <c r="E1064" s="1032"/>
      <c r="F1064" s="1039"/>
      <c r="G1064" s="1221"/>
      <c r="H1064" s="1221"/>
      <c r="I1064" s="1040"/>
      <c r="J1064" s="735" t="s">
        <v>408</v>
      </c>
      <c r="K1064" s="1044" t="s">
        <v>409</v>
      </c>
      <c r="L1064" s="1045"/>
      <c r="M1064" s="736">
        <v>6262</v>
      </c>
      <c r="N1064" s="1046">
        <v>20.28</v>
      </c>
      <c r="O1064" s="1047"/>
      <c r="P1064" s="736">
        <v>20.28</v>
      </c>
      <c r="Q1064" s="736">
        <v>20.28</v>
      </c>
    </row>
    <row r="1065" spans="1:17" ht="15">
      <c r="B1065" s="1026"/>
      <c r="C1065" s="1031"/>
      <c r="D1065" s="1221"/>
      <c r="E1065" s="1032"/>
      <c r="F1065" s="1039"/>
      <c r="G1065" s="1221"/>
      <c r="H1065" s="1221"/>
      <c r="I1065" s="1040"/>
      <c r="J1065" s="735" t="s">
        <v>410</v>
      </c>
      <c r="K1065" s="1044" t="s">
        <v>411</v>
      </c>
      <c r="L1065" s="1045"/>
      <c r="M1065" s="737"/>
      <c r="N1065" s="1046">
        <v>26.75</v>
      </c>
      <c r="O1065" s="1047"/>
      <c r="P1065" s="736">
        <v>26.75</v>
      </c>
      <c r="Q1065" s="736">
        <v>26.75</v>
      </c>
    </row>
    <row r="1066" spans="1:17" ht="25.5">
      <c r="B1066" s="1026"/>
      <c r="C1066" s="1031"/>
      <c r="D1066" s="1221"/>
      <c r="E1066" s="1032"/>
      <c r="F1066" s="1041"/>
      <c r="G1066" s="1042"/>
      <c r="H1066" s="1042"/>
      <c r="I1066" s="1043"/>
      <c r="J1066" s="738" t="s">
        <v>141</v>
      </c>
      <c r="K1066" s="1036" t="s">
        <v>412</v>
      </c>
      <c r="L1066" s="1045"/>
      <c r="M1066" s="739">
        <v>905981.68</v>
      </c>
      <c r="N1066" s="1048" t="s">
        <v>412</v>
      </c>
      <c r="O1066" s="1047"/>
      <c r="P1066" s="737" t="s">
        <v>412</v>
      </c>
      <c r="Q1066" s="737" t="s">
        <v>412</v>
      </c>
    </row>
    <row r="1067" spans="1:17" ht="25.5">
      <c r="B1067" s="1026"/>
      <c r="C1067" s="1033"/>
      <c r="D1067" s="1034"/>
      <c r="E1067" s="1035"/>
      <c r="F1067" s="1049" t="s">
        <v>412</v>
      </c>
      <c r="G1067" s="1050"/>
      <c r="H1067" s="1050"/>
      <c r="I1067" s="1045"/>
      <c r="J1067" s="740" t="s">
        <v>247</v>
      </c>
      <c r="K1067" s="1049" t="s">
        <v>412</v>
      </c>
      <c r="L1067" s="1045"/>
      <c r="M1067" s="739">
        <v>905981.68</v>
      </c>
      <c r="N1067" s="1048" t="s">
        <v>412</v>
      </c>
      <c r="O1067" s="1047"/>
      <c r="P1067" s="737" t="s">
        <v>412</v>
      </c>
      <c r="Q1067" s="737" t="s">
        <v>412</v>
      </c>
    </row>
    <row r="1068" spans="1:17" ht="15">
      <c r="B1068" s="1026"/>
      <c r="C1068" s="1028" t="s">
        <v>248</v>
      </c>
      <c r="D1068" s="1029"/>
      <c r="E1068" s="1030"/>
      <c r="F1068" s="1036" t="s">
        <v>398</v>
      </c>
      <c r="G1068" s="1037"/>
      <c r="H1068" s="1037"/>
      <c r="I1068" s="1038"/>
      <c r="J1068" s="735" t="s">
        <v>188</v>
      </c>
      <c r="K1068" s="1044" t="s">
        <v>189</v>
      </c>
      <c r="L1068" s="1045"/>
      <c r="M1068" s="736">
        <v>0</v>
      </c>
      <c r="N1068" s="1053">
        <v>8.9600000000000009</v>
      </c>
      <c r="O1068" s="1054"/>
      <c r="P1068" s="736">
        <v>8.9600000000000009</v>
      </c>
      <c r="Q1068" s="736">
        <v>8.9600000000000009</v>
      </c>
    </row>
    <row r="1069" spans="1:17" ht="15">
      <c r="B1069" s="1026"/>
      <c r="C1069" s="1031"/>
      <c r="D1069" s="1221"/>
      <c r="E1069" s="1032"/>
      <c r="F1069" s="1039"/>
      <c r="G1069" s="1221"/>
      <c r="H1069" s="1221"/>
      <c r="I1069" s="1040"/>
      <c r="J1069" s="735" t="s">
        <v>192</v>
      </c>
      <c r="K1069" s="1044" t="s">
        <v>193</v>
      </c>
      <c r="L1069" s="1045"/>
      <c r="M1069" s="736">
        <v>2067609.92</v>
      </c>
      <c r="N1069" s="1053">
        <v>8.9600000000000009</v>
      </c>
      <c r="O1069" s="1054"/>
      <c r="P1069" s="736">
        <v>8.9600000000000009</v>
      </c>
      <c r="Q1069" s="736">
        <v>8.9600000000000009</v>
      </c>
    </row>
    <row r="1070" spans="1:17" ht="15">
      <c r="B1070" s="1026"/>
      <c r="C1070" s="1031"/>
      <c r="D1070" s="1221"/>
      <c r="E1070" s="1032"/>
      <c r="F1070" s="1039"/>
      <c r="G1070" s="1221"/>
      <c r="H1070" s="1221"/>
      <c r="I1070" s="1040"/>
      <c r="J1070" s="735" t="s">
        <v>392</v>
      </c>
      <c r="K1070" s="1044" t="s">
        <v>393</v>
      </c>
      <c r="L1070" s="1045"/>
      <c r="M1070" s="736">
        <v>0</v>
      </c>
      <c r="N1070" s="1053">
        <v>8.9600000000000009</v>
      </c>
      <c r="O1070" s="1054"/>
      <c r="P1070" s="736">
        <v>8.9600000000000009</v>
      </c>
      <c r="Q1070" s="736">
        <v>8.9600000000000009</v>
      </c>
    </row>
    <row r="1071" spans="1:17" ht="15">
      <c r="B1071" s="1026"/>
      <c r="C1071" s="1031"/>
      <c r="D1071" s="1221"/>
      <c r="E1071" s="1032"/>
      <c r="F1071" s="1039"/>
      <c r="G1071" s="1221"/>
      <c r="H1071" s="1221"/>
      <c r="I1071" s="1040"/>
      <c r="J1071" s="735" t="s">
        <v>406</v>
      </c>
      <c r="K1071" s="1044" t="s">
        <v>407</v>
      </c>
      <c r="L1071" s="1045"/>
      <c r="M1071" s="736">
        <v>4061</v>
      </c>
      <c r="N1071" s="1046">
        <v>5.64</v>
      </c>
      <c r="O1071" s="1047"/>
      <c r="P1071" s="736">
        <v>5.64</v>
      </c>
      <c r="Q1071" s="736">
        <v>5.64</v>
      </c>
    </row>
    <row r="1072" spans="1:17" ht="15">
      <c r="B1072" s="1026"/>
      <c r="C1072" s="1031"/>
      <c r="D1072" s="1221"/>
      <c r="E1072" s="1032"/>
      <c r="F1072" s="1039"/>
      <c r="G1072" s="1221"/>
      <c r="H1072" s="1221"/>
      <c r="I1072" s="1040"/>
      <c r="J1072" s="735" t="s">
        <v>258</v>
      </c>
      <c r="K1072" s="1044" t="s">
        <v>259</v>
      </c>
      <c r="L1072" s="1045"/>
      <c r="M1072" s="736">
        <v>22816</v>
      </c>
      <c r="N1072" s="1046">
        <v>74.03</v>
      </c>
      <c r="O1072" s="1047"/>
      <c r="P1072" s="736">
        <v>74.03</v>
      </c>
      <c r="Q1072" s="736">
        <v>74.03</v>
      </c>
    </row>
    <row r="1073" spans="1:19" ht="15">
      <c r="B1073" s="1026"/>
      <c r="C1073" s="1031"/>
      <c r="D1073" s="1221"/>
      <c r="E1073" s="1032"/>
      <c r="F1073" s="1039"/>
      <c r="G1073" s="1221"/>
      <c r="H1073" s="1221"/>
      <c r="I1073" s="1040"/>
      <c r="J1073" s="735" t="s">
        <v>408</v>
      </c>
      <c r="K1073" s="1044" t="s">
        <v>409</v>
      </c>
      <c r="L1073" s="1045"/>
      <c r="M1073" s="736">
        <v>6780</v>
      </c>
      <c r="N1073" s="1046">
        <v>22.6</v>
      </c>
      <c r="O1073" s="1047"/>
      <c r="P1073" s="736">
        <v>22.6</v>
      </c>
      <c r="Q1073" s="736">
        <v>22.6</v>
      </c>
    </row>
    <row r="1074" spans="1:19" ht="15">
      <c r="B1074" s="1026"/>
      <c r="C1074" s="1031"/>
      <c r="D1074" s="1221"/>
      <c r="E1074" s="1032"/>
      <c r="F1074" s="1039"/>
      <c r="G1074" s="1221"/>
      <c r="H1074" s="1221"/>
      <c r="I1074" s="1040"/>
      <c r="J1074" s="735" t="s">
        <v>410</v>
      </c>
      <c r="K1074" s="1044" t="s">
        <v>411</v>
      </c>
      <c r="L1074" s="1045"/>
      <c r="M1074" s="737"/>
      <c r="N1074" s="1046">
        <v>26.75</v>
      </c>
      <c r="O1074" s="1047"/>
      <c r="P1074" s="736">
        <v>26.75</v>
      </c>
      <c r="Q1074" s="736">
        <v>26.75</v>
      </c>
    </row>
    <row r="1075" spans="1:19" ht="25.5">
      <c r="B1075" s="1026"/>
      <c r="C1075" s="1031"/>
      <c r="D1075" s="1221"/>
      <c r="E1075" s="1032"/>
      <c r="F1075" s="1041"/>
      <c r="G1075" s="1042"/>
      <c r="H1075" s="1042"/>
      <c r="I1075" s="1043"/>
      <c r="J1075" s="738" t="s">
        <v>141</v>
      </c>
      <c r="K1075" s="1036" t="s">
        <v>412</v>
      </c>
      <c r="L1075" s="1045"/>
      <c r="M1075" s="739">
        <v>2101266.92</v>
      </c>
      <c r="N1075" s="1048" t="s">
        <v>412</v>
      </c>
      <c r="O1075" s="1047"/>
      <c r="P1075" s="737" t="s">
        <v>412</v>
      </c>
      <c r="Q1075" s="737" t="s">
        <v>412</v>
      </c>
    </row>
    <row r="1076" spans="1:19" ht="25.5">
      <c r="B1076" s="1026"/>
      <c r="C1076" s="1033"/>
      <c r="D1076" s="1034"/>
      <c r="E1076" s="1035"/>
      <c r="F1076" s="1049" t="s">
        <v>412</v>
      </c>
      <c r="G1076" s="1050"/>
      <c r="H1076" s="1050"/>
      <c r="I1076" s="1045"/>
      <c r="J1076" s="740" t="s">
        <v>247</v>
      </c>
      <c r="K1076" s="1049" t="s">
        <v>412</v>
      </c>
      <c r="L1076" s="1045"/>
      <c r="M1076" s="739">
        <v>2101266.92</v>
      </c>
      <c r="N1076" s="1048" t="s">
        <v>412</v>
      </c>
      <c r="O1076" s="1047"/>
      <c r="P1076" s="737" t="s">
        <v>412</v>
      </c>
      <c r="Q1076" s="737" t="s">
        <v>412</v>
      </c>
    </row>
    <row r="1077" spans="1:19" ht="25.5">
      <c r="B1077" s="1027"/>
      <c r="C1077" s="1028" t="s">
        <v>412</v>
      </c>
      <c r="D1077" s="1051"/>
      <c r="E1077" s="1052"/>
      <c r="F1077" s="1049" t="s">
        <v>412</v>
      </c>
      <c r="G1077" s="1050"/>
      <c r="H1077" s="1050"/>
      <c r="I1077" s="1045"/>
      <c r="J1077" s="740" t="s">
        <v>301</v>
      </c>
      <c r="K1077" s="1049" t="s">
        <v>412</v>
      </c>
      <c r="L1077" s="1045"/>
      <c r="M1077" s="739">
        <v>3007248.6</v>
      </c>
      <c r="N1077" s="1048" t="s">
        <v>412</v>
      </c>
      <c r="O1077" s="1047"/>
      <c r="P1077" s="737" t="s">
        <v>412</v>
      </c>
      <c r="Q1077" s="737" t="s">
        <v>412</v>
      </c>
    </row>
    <row r="1080" spans="1:19" ht="15">
      <c r="A1080" s="869" t="s">
        <v>413</v>
      </c>
      <c r="B1080" s="869" t="s">
        <v>415</v>
      </c>
    </row>
    <row r="1081" spans="1:19" ht="77.25" customHeight="1">
      <c r="B1081" s="734" t="s">
        <v>127</v>
      </c>
      <c r="C1081" s="1022" t="s">
        <v>128</v>
      </c>
      <c r="D1081" s="1023"/>
      <c r="E1081" s="1024"/>
      <c r="F1081" s="1022" t="s">
        <v>129</v>
      </c>
      <c r="G1081" s="1023"/>
      <c r="H1081" s="1023"/>
      <c r="I1081" s="1024"/>
      <c r="J1081" s="734" t="s">
        <v>130</v>
      </c>
      <c r="K1081" s="1022" t="s">
        <v>131</v>
      </c>
      <c r="L1081" s="1024"/>
      <c r="M1081" s="734" t="s">
        <v>132</v>
      </c>
      <c r="N1081" s="1022" t="s">
        <v>133</v>
      </c>
      <c r="O1081" s="1024"/>
      <c r="P1081" s="734" t="s">
        <v>134</v>
      </c>
      <c r="Q1081" s="734" t="s">
        <v>405</v>
      </c>
    </row>
    <row r="1082" spans="1:19" ht="15">
      <c r="B1082" s="1025">
        <v>5</v>
      </c>
      <c r="C1082" s="1028" t="s">
        <v>136</v>
      </c>
      <c r="D1082" s="1029"/>
      <c r="E1082" s="1030"/>
      <c r="F1082" s="1036" t="s">
        <v>380</v>
      </c>
      <c r="G1082" s="1037"/>
      <c r="H1082" s="1037"/>
      <c r="I1082" s="1038"/>
      <c r="J1082" s="735" t="s">
        <v>197</v>
      </c>
      <c r="K1082" s="1055" t="s">
        <v>198</v>
      </c>
      <c r="L1082" s="1056"/>
      <c r="M1082" s="840">
        <v>217518</v>
      </c>
      <c r="N1082" s="1046">
        <v>32.659999999999997</v>
      </c>
      <c r="O1082" s="1047"/>
      <c r="P1082" s="736">
        <v>32.659999999999997</v>
      </c>
      <c r="Q1082" s="736">
        <v>32.659999999999997</v>
      </c>
    </row>
    <row r="1083" spans="1:19" ht="25.5">
      <c r="B1083" s="1026"/>
      <c r="C1083" s="1031"/>
      <c r="D1083" s="1221"/>
      <c r="E1083" s="1032"/>
      <c r="F1083" s="1041"/>
      <c r="G1083" s="1042"/>
      <c r="H1083" s="1042"/>
      <c r="I1083" s="1043"/>
      <c r="J1083" s="738" t="s">
        <v>141</v>
      </c>
      <c r="K1083" s="1057" t="s">
        <v>412</v>
      </c>
      <c r="L1083" s="1056"/>
      <c r="M1083" s="841">
        <v>217518</v>
      </c>
      <c r="N1083" s="1048" t="s">
        <v>412</v>
      </c>
      <c r="O1083" s="1047"/>
      <c r="P1083" s="737" t="s">
        <v>412</v>
      </c>
      <c r="Q1083" s="737" t="s">
        <v>412</v>
      </c>
    </row>
    <row r="1084" spans="1:19" ht="15">
      <c r="B1084" s="1026"/>
      <c r="C1084" s="1031"/>
      <c r="D1084" s="1221"/>
      <c r="E1084" s="1032"/>
      <c r="F1084" s="1036" t="s">
        <v>394</v>
      </c>
      <c r="G1084" s="1037"/>
      <c r="H1084" s="1037"/>
      <c r="I1084" s="1038"/>
      <c r="J1084" s="735" t="s">
        <v>395</v>
      </c>
      <c r="K1084" s="1055" t="s">
        <v>396</v>
      </c>
      <c r="L1084" s="1056"/>
      <c r="M1084" s="840">
        <v>75244</v>
      </c>
      <c r="N1084" s="1046">
        <v>100.2</v>
      </c>
      <c r="O1084" s="1047"/>
      <c r="P1084" s="736">
        <v>100.2</v>
      </c>
      <c r="Q1084" s="737"/>
    </row>
    <row r="1085" spans="1:19" ht="25.5">
      <c r="B1085" s="1026"/>
      <c r="C1085" s="1031"/>
      <c r="D1085" s="1221"/>
      <c r="E1085" s="1032"/>
      <c r="F1085" s="1041"/>
      <c r="G1085" s="1042"/>
      <c r="H1085" s="1042"/>
      <c r="I1085" s="1043"/>
      <c r="J1085" s="738" t="s">
        <v>141</v>
      </c>
      <c r="K1085" s="1057" t="s">
        <v>412</v>
      </c>
      <c r="L1085" s="1056"/>
      <c r="M1085" s="841">
        <v>75244</v>
      </c>
      <c r="N1085" s="1048" t="s">
        <v>412</v>
      </c>
      <c r="O1085" s="1047"/>
      <c r="P1085" s="737" t="s">
        <v>412</v>
      </c>
      <c r="Q1085" s="737" t="s">
        <v>412</v>
      </c>
    </row>
    <row r="1086" spans="1:19" ht="15">
      <c r="B1086" s="1026"/>
      <c r="C1086" s="1031"/>
      <c r="D1086" s="1221"/>
      <c r="E1086" s="1032"/>
      <c r="F1086" s="1036" t="s">
        <v>224</v>
      </c>
      <c r="G1086" s="1037"/>
      <c r="H1086" s="1037"/>
      <c r="I1086" s="1038"/>
      <c r="J1086" s="735" t="s">
        <v>206</v>
      </c>
      <c r="K1086" s="1055" t="s">
        <v>207</v>
      </c>
      <c r="L1086" s="1056"/>
      <c r="M1086" s="840">
        <v>76131</v>
      </c>
      <c r="N1086" s="1046">
        <v>154.15</v>
      </c>
      <c r="O1086" s="1047"/>
      <c r="P1086" s="736">
        <v>154.15</v>
      </c>
      <c r="Q1086" s="736">
        <v>154.15</v>
      </c>
      <c r="S1086" s="761">
        <f>M1086/N1086</f>
        <v>493.87609471294195</v>
      </c>
    </row>
    <row r="1087" spans="1:19" ht="15">
      <c r="B1087" s="1026"/>
      <c r="C1087" s="1031"/>
      <c r="D1087" s="1221"/>
      <c r="E1087" s="1032"/>
      <c r="F1087" s="1039"/>
      <c r="G1087" s="1221"/>
      <c r="H1087" s="1221"/>
      <c r="I1087" s="1040"/>
      <c r="J1087" s="735" t="s">
        <v>172</v>
      </c>
      <c r="K1087" s="1055" t="s">
        <v>173</v>
      </c>
      <c r="L1087" s="1056"/>
      <c r="M1087" s="840">
        <v>157703</v>
      </c>
      <c r="N1087" s="1046">
        <v>68.37</v>
      </c>
      <c r="O1087" s="1047"/>
      <c r="P1087" s="736">
        <v>68.37</v>
      </c>
      <c r="Q1087" s="736">
        <v>68.37</v>
      </c>
    </row>
    <row r="1088" spans="1:19" ht="15">
      <c r="B1088" s="1026"/>
      <c r="C1088" s="1031"/>
      <c r="D1088" s="1221"/>
      <c r="E1088" s="1032"/>
      <c r="F1088" s="1039"/>
      <c r="G1088" s="1221"/>
      <c r="H1088" s="1221"/>
      <c r="I1088" s="1040"/>
      <c r="J1088" s="735" t="s">
        <v>138</v>
      </c>
      <c r="K1088" s="1055" t="s">
        <v>139</v>
      </c>
      <c r="L1088" s="1056"/>
      <c r="M1088" s="840">
        <v>21931</v>
      </c>
      <c r="N1088" s="1046">
        <v>1.1299999999999999</v>
      </c>
      <c r="O1088" s="1047"/>
      <c r="P1088" s="736">
        <v>1.1299999999999999</v>
      </c>
      <c r="Q1088" s="736">
        <v>1.1299999999999999</v>
      </c>
      <c r="S1088" s="761">
        <f>M1088/N1088</f>
        <v>19407.964601769912</v>
      </c>
    </row>
    <row r="1089" spans="2:19" ht="15">
      <c r="B1089" s="1026"/>
      <c r="C1089" s="1031"/>
      <c r="D1089" s="1221"/>
      <c r="E1089" s="1032"/>
      <c r="F1089" s="1039"/>
      <c r="G1089" s="1221"/>
      <c r="H1089" s="1221"/>
      <c r="I1089" s="1040"/>
      <c r="J1089" s="735" t="s">
        <v>416</v>
      </c>
      <c r="K1089" s="1055" t="s">
        <v>417</v>
      </c>
      <c r="L1089" s="1056"/>
      <c r="M1089" s="840">
        <v>6500</v>
      </c>
      <c r="N1089" s="1046">
        <v>73.39</v>
      </c>
      <c r="O1089" s="1047"/>
      <c r="P1089" s="736">
        <v>73.39</v>
      </c>
      <c r="Q1089" s="736">
        <v>73.39</v>
      </c>
      <c r="S1089" s="761">
        <f>M1089/N1089</f>
        <v>88.567924785393103</v>
      </c>
    </row>
    <row r="1090" spans="2:19" ht="15">
      <c r="B1090" s="1026"/>
      <c r="C1090" s="1031"/>
      <c r="D1090" s="1221"/>
      <c r="E1090" s="1032"/>
      <c r="F1090" s="1039"/>
      <c r="G1090" s="1221"/>
      <c r="H1090" s="1221"/>
      <c r="I1090" s="1040"/>
      <c r="J1090" s="735" t="s">
        <v>418</v>
      </c>
      <c r="K1090" s="1055" t="s">
        <v>419</v>
      </c>
      <c r="L1090" s="1056"/>
      <c r="M1090" s="840">
        <v>2000</v>
      </c>
      <c r="N1090" s="1046">
        <v>139.05000000000001</v>
      </c>
      <c r="O1090" s="1047"/>
      <c r="P1090" s="736">
        <v>139.05000000000001</v>
      </c>
      <c r="Q1090" s="736">
        <v>139.05000000000001</v>
      </c>
      <c r="S1090" s="761">
        <f>M1090/N1090</f>
        <v>14.38331535418914</v>
      </c>
    </row>
    <row r="1091" spans="2:19" ht="15">
      <c r="B1091" s="1026"/>
      <c r="C1091" s="1031"/>
      <c r="D1091" s="1221"/>
      <c r="E1091" s="1032"/>
      <c r="F1091" s="1039"/>
      <c r="G1091" s="1221"/>
      <c r="H1091" s="1221"/>
      <c r="I1091" s="1040"/>
      <c r="J1091" s="735" t="s">
        <v>164</v>
      </c>
      <c r="K1091" s="1055" t="s">
        <v>165</v>
      </c>
      <c r="L1091" s="1056"/>
      <c r="M1091" s="840">
        <v>154009</v>
      </c>
      <c r="N1091" s="1046">
        <v>38.74</v>
      </c>
      <c r="O1091" s="1047"/>
      <c r="P1091" s="736">
        <v>38.74</v>
      </c>
      <c r="Q1091" s="736">
        <v>38.74</v>
      </c>
    </row>
    <row r="1092" spans="2:19" ht="15">
      <c r="B1092" s="1026"/>
      <c r="C1092" s="1031"/>
      <c r="D1092" s="1221"/>
      <c r="E1092" s="1032"/>
      <c r="F1092" s="1039"/>
      <c r="G1092" s="1221"/>
      <c r="H1092" s="1221"/>
      <c r="I1092" s="1040"/>
      <c r="J1092" s="735" t="s">
        <v>321</v>
      </c>
      <c r="K1092" s="1055" t="s">
        <v>322</v>
      </c>
      <c r="L1092" s="1056"/>
      <c r="M1092" s="840">
        <v>173855.5</v>
      </c>
      <c r="N1092" s="1046">
        <v>28.2</v>
      </c>
      <c r="O1092" s="1047"/>
      <c r="P1092" s="736">
        <v>28.2</v>
      </c>
      <c r="Q1092" s="736">
        <v>28.2</v>
      </c>
    </row>
    <row r="1093" spans="2:19" ht="15">
      <c r="B1093" s="1026"/>
      <c r="C1093" s="1031"/>
      <c r="D1093" s="1221"/>
      <c r="E1093" s="1032"/>
      <c r="F1093" s="1039"/>
      <c r="G1093" s="1221"/>
      <c r="H1093" s="1221"/>
      <c r="I1093" s="1040"/>
      <c r="J1093" s="735" t="s">
        <v>225</v>
      </c>
      <c r="K1093" s="1055" t="s">
        <v>226</v>
      </c>
      <c r="L1093" s="1056"/>
      <c r="M1093" s="840">
        <v>71582.5</v>
      </c>
      <c r="N1093" s="1046">
        <v>100</v>
      </c>
      <c r="O1093" s="1047"/>
      <c r="P1093" s="736">
        <v>100</v>
      </c>
      <c r="Q1093" s="736">
        <v>100</v>
      </c>
      <c r="S1093" s="761">
        <f>M1093/N1093</f>
        <v>715.82500000000005</v>
      </c>
    </row>
    <row r="1094" spans="2:19" ht="15">
      <c r="B1094" s="1026"/>
      <c r="C1094" s="1031"/>
      <c r="D1094" s="1221"/>
      <c r="E1094" s="1032"/>
      <c r="F1094" s="1039"/>
      <c r="G1094" s="1221"/>
      <c r="H1094" s="1221"/>
      <c r="I1094" s="1040"/>
      <c r="J1094" s="735" t="s">
        <v>158</v>
      </c>
      <c r="K1094" s="1055" t="s">
        <v>159</v>
      </c>
      <c r="L1094" s="1056"/>
      <c r="M1094" s="840">
        <v>92558</v>
      </c>
      <c r="N1094" s="1046">
        <v>113</v>
      </c>
      <c r="O1094" s="1047"/>
      <c r="P1094" s="736">
        <v>113</v>
      </c>
      <c r="Q1094" s="736">
        <v>113</v>
      </c>
      <c r="S1094" s="761">
        <f>M1094/N1094</f>
        <v>819.09734513274338</v>
      </c>
    </row>
    <row r="1095" spans="2:19" ht="15">
      <c r="B1095" s="1026"/>
      <c r="C1095" s="1031"/>
      <c r="D1095" s="1221"/>
      <c r="E1095" s="1032"/>
      <c r="F1095" s="1039"/>
      <c r="G1095" s="1221"/>
      <c r="H1095" s="1221"/>
      <c r="I1095" s="1040"/>
      <c r="J1095" s="735" t="s">
        <v>408</v>
      </c>
      <c r="K1095" s="1055" t="s">
        <v>409</v>
      </c>
      <c r="L1095" s="1056"/>
      <c r="M1095" s="840">
        <v>32663.5</v>
      </c>
      <c r="N1095" s="1046">
        <v>88.9</v>
      </c>
      <c r="O1095" s="1047"/>
      <c r="P1095" s="736">
        <v>88.9</v>
      </c>
      <c r="Q1095" s="736">
        <v>88.9</v>
      </c>
    </row>
    <row r="1096" spans="2:19" ht="15">
      <c r="B1096" s="1026"/>
      <c r="C1096" s="1031"/>
      <c r="D1096" s="1221"/>
      <c r="E1096" s="1032"/>
      <c r="F1096" s="1039"/>
      <c r="G1096" s="1221"/>
      <c r="H1096" s="1221"/>
      <c r="I1096" s="1040"/>
      <c r="J1096" s="735" t="s">
        <v>420</v>
      </c>
      <c r="K1096" s="1055" t="s">
        <v>421</v>
      </c>
      <c r="L1096" s="1056"/>
      <c r="M1096" s="840">
        <v>7500</v>
      </c>
      <c r="N1096" s="1046">
        <v>0</v>
      </c>
      <c r="O1096" s="1047"/>
      <c r="P1096" s="736">
        <v>0</v>
      </c>
      <c r="Q1096" s="737"/>
      <c r="S1096" s="761"/>
    </row>
    <row r="1097" spans="2:19" ht="15">
      <c r="B1097" s="1026"/>
      <c r="C1097" s="1031"/>
      <c r="D1097" s="1221"/>
      <c r="E1097" s="1032"/>
      <c r="F1097" s="1039"/>
      <c r="G1097" s="1221"/>
      <c r="H1097" s="1221"/>
      <c r="I1097" s="1040"/>
      <c r="J1097" s="735" t="s">
        <v>323</v>
      </c>
      <c r="K1097" s="1055" t="s">
        <v>324</v>
      </c>
      <c r="L1097" s="1056"/>
      <c r="M1097" s="840">
        <v>87109.5</v>
      </c>
      <c r="N1097" s="1046">
        <v>28.2</v>
      </c>
      <c r="O1097" s="1047"/>
      <c r="P1097" s="736">
        <v>28.2</v>
      </c>
      <c r="Q1097" s="736">
        <v>28.2</v>
      </c>
    </row>
    <row r="1098" spans="2:19" ht="15">
      <c r="B1098" s="1026"/>
      <c r="C1098" s="1031"/>
      <c r="D1098" s="1221"/>
      <c r="E1098" s="1032"/>
      <c r="F1098" s="1039"/>
      <c r="G1098" s="1221"/>
      <c r="H1098" s="1221"/>
      <c r="I1098" s="1040"/>
      <c r="J1098" s="735" t="s">
        <v>254</v>
      </c>
      <c r="K1098" s="1055" t="s">
        <v>255</v>
      </c>
      <c r="L1098" s="1056"/>
      <c r="M1098" s="842"/>
      <c r="N1098" s="1046">
        <v>26.75</v>
      </c>
      <c r="O1098" s="1047"/>
      <c r="P1098" s="736">
        <v>26.75</v>
      </c>
      <c r="Q1098" s="736">
        <v>26.75</v>
      </c>
    </row>
    <row r="1099" spans="2:19" ht="15">
      <c r="B1099" s="1026"/>
      <c r="C1099" s="1031"/>
      <c r="D1099" s="1221"/>
      <c r="E1099" s="1032"/>
      <c r="F1099" s="1039"/>
      <c r="G1099" s="1221"/>
      <c r="H1099" s="1221"/>
      <c r="I1099" s="1040"/>
      <c r="J1099" s="735" t="s">
        <v>422</v>
      </c>
      <c r="K1099" s="1055" t="s">
        <v>423</v>
      </c>
      <c r="L1099" s="1056"/>
      <c r="M1099" s="840">
        <v>2525</v>
      </c>
      <c r="N1099" s="1046">
        <v>0</v>
      </c>
      <c r="O1099" s="1047"/>
      <c r="P1099" s="736">
        <v>0</v>
      </c>
      <c r="Q1099" s="737"/>
    </row>
    <row r="1100" spans="2:19" ht="15">
      <c r="B1100" s="1026"/>
      <c r="C1100" s="1031"/>
      <c r="D1100" s="1221"/>
      <c r="E1100" s="1032"/>
      <c r="F1100" s="1039"/>
      <c r="G1100" s="1221"/>
      <c r="H1100" s="1221"/>
      <c r="I1100" s="1040"/>
      <c r="J1100" s="735" t="s">
        <v>424</v>
      </c>
      <c r="K1100" s="1055" t="s">
        <v>425</v>
      </c>
      <c r="L1100" s="1056"/>
      <c r="M1100" s="840">
        <v>2525</v>
      </c>
      <c r="N1100" s="1046">
        <v>0</v>
      </c>
      <c r="O1100" s="1047"/>
      <c r="P1100" s="736">
        <v>0</v>
      </c>
      <c r="Q1100" s="737"/>
    </row>
    <row r="1101" spans="2:19" ht="15">
      <c r="B1101" s="1026"/>
      <c r="C1101" s="1031"/>
      <c r="D1101" s="1221"/>
      <c r="E1101" s="1032"/>
      <c r="F1101" s="1039"/>
      <c r="G1101" s="1221"/>
      <c r="H1101" s="1221"/>
      <c r="I1101" s="1040"/>
      <c r="J1101" s="735" t="s">
        <v>426</v>
      </c>
      <c r="K1101" s="1055" t="s">
        <v>427</v>
      </c>
      <c r="L1101" s="1056"/>
      <c r="M1101" s="840">
        <v>2525</v>
      </c>
      <c r="N1101" s="1046">
        <v>0</v>
      </c>
      <c r="O1101" s="1047"/>
      <c r="P1101" s="736">
        <v>0</v>
      </c>
      <c r="Q1101" s="737"/>
    </row>
    <row r="1102" spans="2:19" ht="15">
      <c r="B1102" s="1026"/>
      <c r="C1102" s="1031"/>
      <c r="D1102" s="1221"/>
      <c r="E1102" s="1032"/>
      <c r="F1102" s="1039"/>
      <c r="G1102" s="1221"/>
      <c r="H1102" s="1221"/>
      <c r="I1102" s="1040"/>
      <c r="J1102" s="735" t="s">
        <v>428</v>
      </c>
      <c r="K1102" s="1055" t="s">
        <v>429</v>
      </c>
      <c r="L1102" s="1056"/>
      <c r="M1102" s="840">
        <v>2525</v>
      </c>
      <c r="N1102" s="1046">
        <v>0</v>
      </c>
      <c r="O1102" s="1047"/>
      <c r="P1102" s="736">
        <v>0</v>
      </c>
      <c r="Q1102" s="737"/>
    </row>
    <row r="1103" spans="2:19" ht="15">
      <c r="B1103" s="1026"/>
      <c r="C1103" s="1031"/>
      <c r="D1103" s="1221"/>
      <c r="E1103" s="1032"/>
      <c r="F1103" s="1039"/>
      <c r="G1103" s="1221"/>
      <c r="H1103" s="1221"/>
      <c r="I1103" s="1040"/>
      <c r="J1103" s="735" t="s">
        <v>410</v>
      </c>
      <c r="K1103" s="1055" t="s">
        <v>411</v>
      </c>
      <c r="L1103" s="1056"/>
      <c r="M1103" s="840">
        <v>4242.5</v>
      </c>
      <c r="N1103" s="1046">
        <v>26.75</v>
      </c>
      <c r="O1103" s="1047"/>
      <c r="P1103" s="736">
        <v>26.75</v>
      </c>
      <c r="Q1103" s="736">
        <v>26.75</v>
      </c>
    </row>
    <row r="1104" spans="2:19" ht="25.5">
      <c r="B1104" s="1026"/>
      <c r="C1104" s="1031"/>
      <c r="D1104" s="1221"/>
      <c r="E1104" s="1032"/>
      <c r="F1104" s="1041"/>
      <c r="G1104" s="1042"/>
      <c r="H1104" s="1042"/>
      <c r="I1104" s="1043"/>
      <c r="J1104" s="738" t="s">
        <v>141</v>
      </c>
      <c r="K1104" s="1057" t="s">
        <v>412</v>
      </c>
      <c r="L1104" s="1056"/>
      <c r="M1104" s="841">
        <v>897885.5</v>
      </c>
      <c r="N1104" s="1048" t="s">
        <v>412</v>
      </c>
      <c r="O1104" s="1047"/>
      <c r="P1104" s="737" t="s">
        <v>412</v>
      </c>
      <c r="Q1104" s="737" t="s">
        <v>412</v>
      </c>
    </row>
    <row r="1105" spans="2:19" ht="25.5">
      <c r="B1105" s="1026"/>
      <c r="C1105" s="1033"/>
      <c r="D1105" s="1034"/>
      <c r="E1105" s="1035"/>
      <c r="F1105" s="1049" t="s">
        <v>412</v>
      </c>
      <c r="G1105" s="1050"/>
      <c r="H1105" s="1050"/>
      <c r="I1105" s="1045"/>
      <c r="J1105" s="740" t="s">
        <v>247</v>
      </c>
      <c r="K1105" s="1058" t="s">
        <v>412</v>
      </c>
      <c r="L1105" s="1056"/>
      <c r="M1105" s="841">
        <v>1190647.5</v>
      </c>
      <c r="N1105" s="1048" t="s">
        <v>412</v>
      </c>
      <c r="O1105" s="1047"/>
      <c r="P1105" s="737" t="s">
        <v>412</v>
      </c>
      <c r="Q1105" s="737" t="s">
        <v>412</v>
      </c>
    </row>
    <row r="1106" spans="2:19" ht="15">
      <c r="B1106" s="1026"/>
      <c r="C1106" s="1028" t="s">
        <v>248</v>
      </c>
      <c r="D1106" s="1029"/>
      <c r="E1106" s="1030"/>
      <c r="F1106" s="1036" t="s">
        <v>397</v>
      </c>
      <c r="G1106" s="1037"/>
      <c r="H1106" s="1037"/>
      <c r="I1106" s="1038"/>
      <c r="J1106" s="735" t="s">
        <v>206</v>
      </c>
      <c r="K1106" s="1055" t="s">
        <v>207</v>
      </c>
      <c r="L1106" s="1056"/>
      <c r="M1106" s="840">
        <v>352889</v>
      </c>
      <c r="N1106" s="1046">
        <v>148.06</v>
      </c>
      <c r="O1106" s="1047"/>
      <c r="P1106" s="736">
        <v>148.06</v>
      </c>
      <c r="Q1106" s="736">
        <v>148.06</v>
      </c>
      <c r="S1106" s="761">
        <f>M1106/N1106</f>
        <v>2383.4188842361204</v>
      </c>
    </row>
    <row r="1107" spans="2:19" ht="25.5">
      <c r="B1107" s="1026"/>
      <c r="C1107" s="1031"/>
      <c r="D1107" s="1221"/>
      <c r="E1107" s="1032"/>
      <c r="F1107" s="1041"/>
      <c r="G1107" s="1042"/>
      <c r="H1107" s="1042"/>
      <c r="I1107" s="1043"/>
      <c r="J1107" s="738" t="s">
        <v>141</v>
      </c>
      <c r="K1107" s="1057" t="s">
        <v>412</v>
      </c>
      <c r="L1107" s="1056"/>
      <c r="M1107" s="841">
        <v>352889</v>
      </c>
      <c r="N1107" s="1048" t="s">
        <v>412</v>
      </c>
      <c r="O1107" s="1047"/>
      <c r="P1107" s="737" t="s">
        <v>412</v>
      </c>
      <c r="Q1107" s="737" t="s">
        <v>412</v>
      </c>
    </row>
    <row r="1108" spans="2:19" ht="15">
      <c r="B1108" s="1026"/>
      <c r="C1108" s="1031"/>
      <c r="D1108" s="1221"/>
      <c r="E1108" s="1032"/>
      <c r="F1108" s="1036" t="s">
        <v>400</v>
      </c>
      <c r="G1108" s="1037"/>
      <c r="H1108" s="1037"/>
      <c r="I1108" s="1038"/>
      <c r="J1108" s="735" t="s">
        <v>197</v>
      </c>
      <c r="K1108" s="1055" t="s">
        <v>198</v>
      </c>
      <c r="L1108" s="1056"/>
      <c r="M1108" s="840">
        <v>538351</v>
      </c>
      <c r="N1108" s="1046">
        <v>29.47</v>
      </c>
      <c r="O1108" s="1047"/>
      <c r="P1108" s="736">
        <v>29.47</v>
      </c>
      <c r="Q1108" s="736">
        <v>29.47</v>
      </c>
    </row>
    <row r="1109" spans="2:19" ht="15">
      <c r="B1109" s="1026"/>
      <c r="C1109" s="1031"/>
      <c r="D1109" s="1221"/>
      <c r="E1109" s="1032"/>
      <c r="F1109" s="1039"/>
      <c r="G1109" s="1221"/>
      <c r="H1109" s="1221"/>
      <c r="I1109" s="1040"/>
      <c r="J1109" s="735" t="s">
        <v>430</v>
      </c>
      <c r="K1109" s="1055" t="s">
        <v>431</v>
      </c>
      <c r="L1109" s="1056"/>
      <c r="M1109" s="842"/>
      <c r="N1109" s="1046">
        <v>29.47</v>
      </c>
      <c r="O1109" s="1047"/>
      <c r="P1109" s="736">
        <v>29.47</v>
      </c>
      <c r="Q1109" s="736">
        <v>29.47</v>
      </c>
    </row>
    <row r="1110" spans="2:19" ht="25.5">
      <c r="B1110" s="1026"/>
      <c r="C1110" s="1031"/>
      <c r="D1110" s="1221"/>
      <c r="E1110" s="1032"/>
      <c r="F1110" s="1041"/>
      <c r="G1110" s="1042"/>
      <c r="H1110" s="1042"/>
      <c r="I1110" s="1043"/>
      <c r="J1110" s="738" t="s">
        <v>141</v>
      </c>
      <c r="K1110" s="1057" t="s">
        <v>412</v>
      </c>
      <c r="L1110" s="1056"/>
      <c r="M1110" s="841">
        <v>538351</v>
      </c>
      <c r="N1110" s="1048" t="s">
        <v>412</v>
      </c>
      <c r="O1110" s="1047"/>
      <c r="P1110" s="737" t="s">
        <v>412</v>
      </c>
      <c r="Q1110" s="737" t="s">
        <v>412</v>
      </c>
    </row>
    <row r="1111" spans="2:19" ht="15">
      <c r="B1111" s="1026"/>
      <c r="C1111" s="1031"/>
      <c r="D1111" s="1221"/>
      <c r="E1111" s="1032"/>
      <c r="F1111" s="1036" t="s">
        <v>401</v>
      </c>
      <c r="G1111" s="1037"/>
      <c r="H1111" s="1037"/>
      <c r="I1111" s="1038"/>
      <c r="J1111" s="735" t="s">
        <v>395</v>
      </c>
      <c r="K1111" s="1055" t="s">
        <v>396</v>
      </c>
      <c r="L1111" s="1056"/>
      <c r="M1111" s="840">
        <v>62894</v>
      </c>
      <c r="N1111" s="1046">
        <v>111</v>
      </c>
      <c r="O1111" s="1047"/>
      <c r="P1111" s="736">
        <v>111</v>
      </c>
      <c r="Q1111" s="736">
        <v>111</v>
      </c>
    </row>
    <row r="1112" spans="2:19" ht="25.5">
      <c r="B1112" s="1026"/>
      <c r="C1112" s="1031"/>
      <c r="D1112" s="1221"/>
      <c r="E1112" s="1032"/>
      <c r="F1112" s="1041"/>
      <c r="G1112" s="1042"/>
      <c r="H1112" s="1042"/>
      <c r="I1112" s="1043"/>
      <c r="J1112" s="738" t="s">
        <v>141</v>
      </c>
      <c r="K1112" s="1057" t="s">
        <v>412</v>
      </c>
      <c r="L1112" s="1056"/>
      <c r="M1112" s="841">
        <v>62894</v>
      </c>
      <c r="N1112" s="1048" t="s">
        <v>412</v>
      </c>
      <c r="O1112" s="1047"/>
      <c r="P1112" s="737" t="s">
        <v>412</v>
      </c>
      <c r="Q1112" s="737" t="s">
        <v>412</v>
      </c>
    </row>
    <row r="1113" spans="2:19" ht="15">
      <c r="B1113" s="1026"/>
      <c r="C1113" s="1031"/>
      <c r="D1113" s="1221"/>
      <c r="E1113" s="1032"/>
      <c r="F1113" s="1036" t="s">
        <v>402</v>
      </c>
      <c r="G1113" s="1037"/>
      <c r="H1113" s="1037"/>
      <c r="I1113" s="1038"/>
      <c r="J1113" s="735" t="s">
        <v>164</v>
      </c>
      <c r="K1113" s="1055" t="s">
        <v>165</v>
      </c>
      <c r="L1113" s="1056"/>
      <c r="M1113" s="840">
        <v>224211</v>
      </c>
      <c r="N1113" s="1046">
        <v>38.74</v>
      </c>
      <c r="O1113" s="1047"/>
      <c r="P1113" s="736">
        <v>38.74</v>
      </c>
      <c r="Q1113" s="736">
        <v>38.74</v>
      </c>
    </row>
    <row r="1114" spans="2:19" ht="25.5">
      <c r="B1114" s="1026"/>
      <c r="C1114" s="1031"/>
      <c r="D1114" s="1221"/>
      <c r="E1114" s="1032"/>
      <c r="F1114" s="1041"/>
      <c r="G1114" s="1042"/>
      <c r="H1114" s="1042"/>
      <c r="I1114" s="1043"/>
      <c r="J1114" s="738" t="s">
        <v>141</v>
      </c>
      <c r="K1114" s="1057" t="s">
        <v>412</v>
      </c>
      <c r="L1114" s="1056"/>
      <c r="M1114" s="841">
        <v>224211</v>
      </c>
      <c r="N1114" s="1048" t="s">
        <v>412</v>
      </c>
      <c r="O1114" s="1047"/>
      <c r="P1114" s="737" t="s">
        <v>412</v>
      </c>
      <c r="Q1114" s="737" t="s">
        <v>412</v>
      </c>
    </row>
    <row r="1115" spans="2:19" ht="15">
      <c r="B1115" s="1026"/>
      <c r="C1115" s="1031"/>
      <c r="D1115" s="1221"/>
      <c r="E1115" s="1032"/>
      <c r="F1115" s="1036" t="s">
        <v>281</v>
      </c>
      <c r="G1115" s="1037"/>
      <c r="H1115" s="1037"/>
      <c r="I1115" s="1038"/>
      <c r="J1115" s="735" t="s">
        <v>172</v>
      </c>
      <c r="K1115" s="1055" t="s">
        <v>173</v>
      </c>
      <c r="L1115" s="1056"/>
      <c r="M1115" s="840">
        <v>157703</v>
      </c>
      <c r="N1115" s="1046">
        <v>68.37</v>
      </c>
      <c r="O1115" s="1047"/>
      <c r="P1115" s="736">
        <v>68.37</v>
      </c>
      <c r="Q1115" s="736">
        <v>68.37</v>
      </c>
    </row>
    <row r="1116" spans="2:19" ht="15">
      <c r="B1116" s="1026"/>
      <c r="C1116" s="1031"/>
      <c r="D1116" s="1221"/>
      <c r="E1116" s="1032"/>
      <c r="F1116" s="1039"/>
      <c r="G1116" s="1221"/>
      <c r="H1116" s="1221"/>
      <c r="I1116" s="1040"/>
      <c r="J1116" s="735" t="s">
        <v>138</v>
      </c>
      <c r="K1116" s="1055" t="s">
        <v>139</v>
      </c>
      <c r="L1116" s="1056"/>
      <c r="M1116" s="840">
        <v>21931</v>
      </c>
      <c r="N1116" s="1046">
        <v>1.1299999999999999</v>
      </c>
      <c r="O1116" s="1047"/>
      <c r="P1116" s="736">
        <v>1.1299999999999999</v>
      </c>
      <c r="Q1116" s="736">
        <v>1.1299999999999999</v>
      </c>
      <c r="S1116" s="761">
        <f>M1116/N1116</f>
        <v>19407.964601769912</v>
      </c>
    </row>
    <row r="1117" spans="2:19" ht="15">
      <c r="B1117" s="1026"/>
      <c r="C1117" s="1031"/>
      <c r="D1117" s="1221"/>
      <c r="E1117" s="1032"/>
      <c r="F1117" s="1039"/>
      <c r="G1117" s="1221"/>
      <c r="H1117" s="1221"/>
      <c r="I1117" s="1040"/>
      <c r="J1117" s="735" t="s">
        <v>416</v>
      </c>
      <c r="K1117" s="1055" t="s">
        <v>417</v>
      </c>
      <c r="L1117" s="1056"/>
      <c r="M1117" s="840">
        <v>6500</v>
      </c>
      <c r="N1117" s="1046">
        <v>73.39</v>
      </c>
      <c r="O1117" s="1047"/>
      <c r="P1117" s="736">
        <v>73.39</v>
      </c>
      <c r="Q1117" s="736">
        <v>73.39</v>
      </c>
      <c r="S1117" s="761">
        <f>M1117/N1117</f>
        <v>88.567924785393103</v>
      </c>
    </row>
    <row r="1118" spans="2:19" ht="15">
      <c r="B1118" s="1026"/>
      <c r="C1118" s="1031"/>
      <c r="D1118" s="1221"/>
      <c r="E1118" s="1032"/>
      <c r="F1118" s="1039"/>
      <c r="G1118" s="1221"/>
      <c r="H1118" s="1221"/>
      <c r="I1118" s="1040"/>
      <c r="J1118" s="735" t="s">
        <v>418</v>
      </c>
      <c r="K1118" s="1055" t="s">
        <v>419</v>
      </c>
      <c r="L1118" s="1056"/>
      <c r="M1118" s="840">
        <v>2000</v>
      </c>
      <c r="N1118" s="1046">
        <v>139.05000000000001</v>
      </c>
      <c r="O1118" s="1047"/>
      <c r="P1118" s="736">
        <v>139.05000000000001</v>
      </c>
      <c r="Q1118" s="736">
        <v>139.05000000000001</v>
      </c>
      <c r="S1118" s="761">
        <f>M1118/N1118</f>
        <v>14.38331535418914</v>
      </c>
    </row>
    <row r="1119" spans="2:19" ht="15">
      <c r="B1119" s="1026"/>
      <c r="C1119" s="1031"/>
      <c r="D1119" s="1221"/>
      <c r="E1119" s="1032"/>
      <c r="F1119" s="1039"/>
      <c r="G1119" s="1221"/>
      <c r="H1119" s="1221"/>
      <c r="I1119" s="1040"/>
      <c r="J1119" s="735" t="s">
        <v>321</v>
      </c>
      <c r="K1119" s="1055" t="s">
        <v>322</v>
      </c>
      <c r="L1119" s="1056"/>
      <c r="M1119" s="840">
        <v>173855.5</v>
      </c>
      <c r="N1119" s="1046">
        <v>28.2</v>
      </c>
      <c r="O1119" s="1047"/>
      <c r="P1119" s="736">
        <v>28.2</v>
      </c>
      <c r="Q1119" s="736">
        <v>28.2</v>
      </c>
    </row>
    <row r="1120" spans="2:19" ht="15">
      <c r="B1120" s="1026"/>
      <c r="C1120" s="1031"/>
      <c r="D1120" s="1221"/>
      <c r="E1120" s="1032"/>
      <c r="F1120" s="1039"/>
      <c r="G1120" s="1221"/>
      <c r="H1120" s="1221"/>
      <c r="I1120" s="1040"/>
      <c r="J1120" s="735" t="s">
        <v>225</v>
      </c>
      <c r="K1120" s="1055" t="s">
        <v>226</v>
      </c>
      <c r="L1120" s="1056"/>
      <c r="M1120" s="840">
        <v>71582.5</v>
      </c>
      <c r="N1120" s="1046">
        <v>100</v>
      </c>
      <c r="O1120" s="1047"/>
      <c r="P1120" s="736">
        <v>100</v>
      </c>
      <c r="Q1120" s="736">
        <v>100</v>
      </c>
      <c r="S1120" s="761">
        <f>M1120/N1120</f>
        <v>715.82500000000005</v>
      </c>
    </row>
    <row r="1121" spans="1:19" ht="15">
      <c r="B1121" s="1026"/>
      <c r="C1121" s="1031"/>
      <c r="D1121" s="1221"/>
      <c r="E1121" s="1032"/>
      <c r="F1121" s="1039"/>
      <c r="G1121" s="1221"/>
      <c r="H1121" s="1221"/>
      <c r="I1121" s="1040"/>
      <c r="J1121" s="735" t="s">
        <v>158</v>
      </c>
      <c r="K1121" s="1055" t="s">
        <v>159</v>
      </c>
      <c r="L1121" s="1056"/>
      <c r="M1121" s="840">
        <v>92558</v>
      </c>
      <c r="N1121" s="1046">
        <v>113</v>
      </c>
      <c r="O1121" s="1047"/>
      <c r="P1121" s="736">
        <v>113</v>
      </c>
      <c r="Q1121" s="736">
        <v>113</v>
      </c>
      <c r="S1121" s="761">
        <f>M1121/N1121</f>
        <v>819.09734513274338</v>
      </c>
    </row>
    <row r="1122" spans="1:19" ht="15">
      <c r="B1122" s="1026"/>
      <c r="C1122" s="1031"/>
      <c r="D1122" s="1221"/>
      <c r="E1122" s="1032"/>
      <c r="F1122" s="1039"/>
      <c r="G1122" s="1221"/>
      <c r="H1122" s="1221"/>
      <c r="I1122" s="1040"/>
      <c r="J1122" s="735" t="s">
        <v>408</v>
      </c>
      <c r="K1122" s="1055" t="s">
        <v>409</v>
      </c>
      <c r="L1122" s="1056"/>
      <c r="M1122" s="840">
        <v>32663.5</v>
      </c>
      <c r="N1122" s="1046">
        <v>88.9</v>
      </c>
      <c r="O1122" s="1047"/>
      <c r="P1122" s="736">
        <v>88.9</v>
      </c>
      <c r="Q1122" s="736">
        <v>88.9</v>
      </c>
    </row>
    <row r="1123" spans="1:19" ht="15">
      <c r="B1123" s="1026"/>
      <c r="C1123" s="1031"/>
      <c r="D1123" s="1221"/>
      <c r="E1123" s="1032"/>
      <c r="F1123" s="1039"/>
      <c r="G1123" s="1221"/>
      <c r="H1123" s="1221"/>
      <c r="I1123" s="1040"/>
      <c r="J1123" s="735" t="s">
        <v>420</v>
      </c>
      <c r="K1123" s="1055" t="s">
        <v>421</v>
      </c>
      <c r="L1123" s="1056"/>
      <c r="M1123" s="840">
        <v>7500</v>
      </c>
      <c r="N1123" s="1046">
        <v>0</v>
      </c>
      <c r="O1123" s="1047"/>
      <c r="P1123" s="736">
        <v>0</v>
      </c>
      <c r="Q1123" s="737"/>
      <c r="S1123" s="761"/>
    </row>
    <row r="1124" spans="1:19" ht="15">
      <c r="B1124" s="1026"/>
      <c r="C1124" s="1031"/>
      <c r="D1124" s="1221"/>
      <c r="E1124" s="1032"/>
      <c r="F1124" s="1039"/>
      <c r="G1124" s="1221"/>
      <c r="H1124" s="1221"/>
      <c r="I1124" s="1040"/>
      <c r="J1124" s="735" t="s">
        <v>323</v>
      </c>
      <c r="K1124" s="1055" t="s">
        <v>324</v>
      </c>
      <c r="L1124" s="1056"/>
      <c r="M1124" s="840">
        <v>87109.5</v>
      </c>
      <c r="N1124" s="1046">
        <v>28.2</v>
      </c>
      <c r="O1124" s="1047"/>
      <c r="P1124" s="736">
        <v>28.2</v>
      </c>
      <c r="Q1124" s="736">
        <v>28.2</v>
      </c>
    </row>
    <row r="1125" spans="1:19" ht="15">
      <c r="B1125" s="1026"/>
      <c r="C1125" s="1031"/>
      <c r="D1125" s="1221"/>
      <c r="E1125" s="1032"/>
      <c r="F1125" s="1039"/>
      <c r="G1125" s="1221"/>
      <c r="H1125" s="1221"/>
      <c r="I1125" s="1040"/>
      <c r="J1125" s="735" t="s">
        <v>254</v>
      </c>
      <c r="K1125" s="1055" t="s">
        <v>255</v>
      </c>
      <c r="L1125" s="1056"/>
      <c r="M1125" s="842"/>
      <c r="N1125" s="1046">
        <v>26.75</v>
      </c>
      <c r="O1125" s="1047"/>
      <c r="P1125" s="736">
        <v>26.75</v>
      </c>
      <c r="Q1125" s="736">
        <v>26.75</v>
      </c>
    </row>
    <row r="1126" spans="1:19" ht="15">
      <c r="B1126" s="1026"/>
      <c r="C1126" s="1031"/>
      <c r="D1126" s="1221"/>
      <c r="E1126" s="1032"/>
      <c r="F1126" s="1039"/>
      <c r="G1126" s="1221"/>
      <c r="H1126" s="1221"/>
      <c r="I1126" s="1040"/>
      <c r="J1126" s="735" t="s">
        <v>422</v>
      </c>
      <c r="K1126" s="1055" t="s">
        <v>423</v>
      </c>
      <c r="L1126" s="1056"/>
      <c r="M1126" s="840">
        <v>2525</v>
      </c>
      <c r="N1126" s="1046">
        <v>0</v>
      </c>
      <c r="O1126" s="1047"/>
      <c r="P1126" s="736">
        <v>0</v>
      </c>
      <c r="Q1126" s="737"/>
    </row>
    <row r="1127" spans="1:19" ht="15">
      <c r="B1127" s="1026"/>
      <c r="C1127" s="1031"/>
      <c r="D1127" s="1221"/>
      <c r="E1127" s="1032"/>
      <c r="F1127" s="1039"/>
      <c r="G1127" s="1221"/>
      <c r="H1127" s="1221"/>
      <c r="I1127" s="1040"/>
      <c r="J1127" s="735" t="s">
        <v>424</v>
      </c>
      <c r="K1127" s="1055" t="s">
        <v>425</v>
      </c>
      <c r="L1127" s="1056"/>
      <c r="M1127" s="840">
        <v>2525</v>
      </c>
      <c r="N1127" s="1046">
        <v>0</v>
      </c>
      <c r="O1127" s="1047"/>
      <c r="P1127" s="736">
        <v>0</v>
      </c>
      <c r="Q1127" s="737"/>
    </row>
    <row r="1128" spans="1:19" ht="15">
      <c r="B1128" s="1026"/>
      <c r="C1128" s="1031"/>
      <c r="D1128" s="1221"/>
      <c r="E1128" s="1032"/>
      <c r="F1128" s="1039"/>
      <c r="G1128" s="1221"/>
      <c r="H1128" s="1221"/>
      <c r="I1128" s="1040"/>
      <c r="J1128" s="735" t="s">
        <v>426</v>
      </c>
      <c r="K1128" s="1055" t="s">
        <v>427</v>
      </c>
      <c r="L1128" s="1056"/>
      <c r="M1128" s="840">
        <v>2525</v>
      </c>
      <c r="N1128" s="1046">
        <v>0</v>
      </c>
      <c r="O1128" s="1047"/>
      <c r="P1128" s="736">
        <v>0</v>
      </c>
      <c r="Q1128" s="737"/>
    </row>
    <row r="1129" spans="1:19" ht="15">
      <c r="B1129" s="1026"/>
      <c r="C1129" s="1031"/>
      <c r="D1129" s="1221"/>
      <c r="E1129" s="1032"/>
      <c r="F1129" s="1039"/>
      <c r="G1129" s="1221"/>
      <c r="H1129" s="1221"/>
      <c r="I1129" s="1040"/>
      <c r="J1129" s="735" t="s">
        <v>428</v>
      </c>
      <c r="K1129" s="1055" t="s">
        <v>429</v>
      </c>
      <c r="L1129" s="1056"/>
      <c r="M1129" s="840">
        <v>2525</v>
      </c>
      <c r="N1129" s="1046">
        <v>0</v>
      </c>
      <c r="O1129" s="1047"/>
      <c r="P1129" s="736">
        <v>0</v>
      </c>
      <c r="Q1129" s="737"/>
    </row>
    <row r="1130" spans="1:19" ht="15">
      <c r="B1130" s="1026"/>
      <c r="C1130" s="1031"/>
      <c r="D1130" s="1221"/>
      <c r="E1130" s="1032"/>
      <c r="F1130" s="1039"/>
      <c r="G1130" s="1221"/>
      <c r="H1130" s="1221"/>
      <c r="I1130" s="1040"/>
      <c r="J1130" s="735" t="s">
        <v>410</v>
      </c>
      <c r="K1130" s="1055" t="s">
        <v>411</v>
      </c>
      <c r="L1130" s="1056"/>
      <c r="M1130" s="840">
        <v>4242.5</v>
      </c>
      <c r="N1130" s="1046">
        <v>26.75</v>
      </c>
      <c r="O1130" s="1047"/>
      <c r="P1130" s="736">
        <v>26.75</v>
      </c>
      <c r="Q1130" s="736">
        <v>26.75</v>
      </c>
    </row>
    <row r="1131" spans="1:19" ht="25.5">
      <c r="B1131" s="1026"/>
      <c r="C1131" s="1031"/>
      <c r="D1131" s="1221"/>
      <c r="E1131" s="1032"/>
      <c r="F1131" s="1041"/>
      <c r="G1131" s="1042"/>
      <c r="H1131" s="1042"/>
      <c r="I1131" s="1043"/>
      <c r="J1131" s="738" t="s">
        <v>141</v>
      </c>
      <c r="K1131" s="1036" t="s">
        <v>412</v>
      </c>
      <c r="L1131" s="1045"/>
      <c r="M1131" s="739">
        <v>667745.5</v>
      </c>
      <c r="N1131" s="1048" t="s">
        <v>412</v>
      </c>
      <c r="O1131" s="1047"/>
      <c r="P1131" s="737" t="s">
        <v>412</v>
      </c>
      <c r="Q1131" s="737" t="s">
        <v>412</v>
      </c>
    </row>
    <row r="1132" spans="1:19" ht="25.5">
      <c r="B1132" s="1026"/>
      <c r="C1132" s="1033"/>
      <c r="D1132" s="1034"/>
      <c r="E1132" s="1035"/>
      <c r="F1132" s="1049" t="s">
        <v>412</v>
      </c>
      <c r="G1132" s="1050"/>
      <c r="H1132" s="1050"/>
      <c r="I1132" s="1045"/>
      <c r="J1132" s="740" t="s">
        <v>247</v>
      </c>
      <c r="K1132" s="1049" t="s">
        <v>412</v>
      </c>
      <c r="L1132" s="1045"/>
      <c r="M1132" s="739">
        <v>1846090.5</v>
      </c>
      <c r="N1132" s="1048" t="s">
        <v>412</v>
      </c>
      <c r="O1132" s="1047"/>
      <c r="P1132" s="737" t="s">
        <v>412</v>
      </c>
      <c r="Q1132" s="737" t="s">
        <v>412</v>
      </c>
    </row>
    <row r="1133" spans="1:19" ht="25.5">
      <c r="B1133" s="1027"/>
      <c r="C1133" s="1028" t="s">
        <v>412</v>
      </c>
      <c r="D1133" s="1051"/>
      <c r="E1133" s="1052"/>
      <c r="F1133" s="1049" t="s">
        <v>412</v>
      </c>
      <c r="G1133" s="1050"/>
      <c r="H1133" s="1050"/>
      <c r="I1133" s="1045"/>
      <c r="J1133" s="740" t="s">
        <v>301</v>
      </c>
      <c r="K1133" s="1049" t="s">
        <v>412</v>
      </c>
      <c r="L1133" s="1045"/>
      <c r="M1133" s="739">
        <v>3036738</v>
      </c>
      <c r="N1133" s="1048" t="s">
        <v>412</v>
      </c>
      <c r="O1133" s="1047"/>
      <c r="P1133" s="737" t="s">
        <v>412</v>
      </c>
      <c r="Q1133" s="737" t="s">
        <v>412</v>
      </c>
    </row>
    <row r="1136" spans="1:19" ht="15">
      <c r="A1136" s="869" t="s">
        <v>413</v>
      </c>
      <c r="B1136" s="869" t="s">
        <v>432</v>
      </c>
    </row>
    <row r="1137" spans="2:17" ht="75.75" customHeight="1">
      <c r="B1137" s="734" t="s">
        <v>127</v>
      </c>
      <c r="C1137" s="1022" t="s">
        <v>128</v>
      </c>
      <c r="D1137" s="1023"/>
      <c r="E1137" s="1024"/>
      <c r="F1137" s="1022" t="s">
        <v>129</v>
      </c>
      <c r="G1137" s="1023"/>
      <c r="H1137" s="1023"/>
      <c r="I1137" s="1024"/>
      <c r="J1137" s="734" t="s">
        <v>130</v>
      </c>
      <c r="K1137" s="1022" t="s">
        <v>131</v>
      </c>
      <c r="L1137" s="1024"/>
      <c r="M1137" s="734" t="s">
        <v>132</v>
      </c>
      <c r="N1137" s="1022" t="s">
        <v>133</v>
      </c>
      <c r="O1137" s="1024"/>
      <c r="P1137" s="734" t="s">
        <v>134</v>
      </c>
      <c r="Q1137" s="734" t="s">
        <v>405</v>
      </c>
    </row>
    <row r="1138" spans="2:17" ht="15">
      <c r="B1138" s="1025">
        <v>5</v>
      </c>
      <c r="C1138" s="1028" t="s">
        <v>136</v>
      </c>
      <c r="D1138" s="1029"/>
      <c r="E1138" s="1030"/>
      <c r="F1138" s="1036" t="s">
        <v>433</v>
      </c>
      <c r="G1138" s="1037"/>
      <c r="H1138" s="1037"/>
      <c r="I1138" s="1038"/>
      <c r="J1138" s="735" t="s">
        <v>434</v>
      </c>
      <c r="K1138" s="1044" t="s">
        <v>435</v>
      </c>
      <c r="L1138" s="1045"/>
      <c r="M1138" s="736">
        <v>17500</v>
      </c>
      <c r="N1138" s="1046">
        <v>3181.82</v>
      </c>
      <c r="O1138" s="1047"/>
      <c r="P1138" s="736">
        <v>3181.82</v>
      </c>
      <c r="Q1138" s="736">
        <v>3181.82</v>
      </c>
    </row>
    <row r="1139" spans="2:17" ht="25.5">
      <c r="B1139" s="1026"/>
      <c r="C1139" s="1031"/>
      <c r="D1139" s="1221"/>
      <c r="E1139" s="1032"/>
      <c r="F1139" s="1041"/>
      <c r="G1139" s="1042"/>
      <c r="H1139" s="1042"/>
      <c r="I1139" s="1043"/>
      <c r="J1139" s="738" t="s">
        <v>141</v>
      </c>
      <c r="K1139" s="1036" t="s">
        <v>412</v>
      </c>
      <c r="L1139" s="1045"/>
      <c r="M1139" s="739">
        <v>17500</v>
      </c>
      <c r="N1139" s="1048" t="s">
        <v>412</v>
      </c>
      <c r="O1139" s="1047"/>
      <c r="P1139" s="737" t="s">
        <v>412</v>
      </c>
      <c r="Q1139" s="737" t="s">
        <v>412</v>
      </c>
    </row>
    <row r="1140" spans="2:17" ht="15">
      <c r="B1140" s="1026"/>
      <c r="C1140" s="1031"/>
      <c r="D1140" s="1221"/>
      <c r="E1140" s="1032"/>
      <c r="F1140" s="1036" t="s">
        <v>224</v>
      </c>
      <c r="G1140" s="1037"/>
      <c r="H1140" s="1037"/>
      <c r="I1140" s="1038"/>
      <c r="J1140" s="735" t="s">
        <v>436</v>
      </c>
      <c r="K1140" s="1044" t="s">
        <v>437</v>
      </c>
      <c r="L1140" s="1045"/>
      <c r="M1140" s="736">
        <v>3791</v>
      </c>
      <c r="N1140" s="1046">
        <v>3791</v>
      </c>
      <c r="O1140" s="1047"/>
      <c r="P1140" s="736">
        <v>3791</v>
      </c>
      <c r="Q1140" s="736">
        <v>3791</v>
      </c>
    </row>
    <row r="1141" spans="2:17" ht="15">
      <c r="B1141" s="1026"/>
      <c r="C1141" s="1031"/>
      <c r="D1141" s="1221"/>
      <c r="E1141" s="1032"/>
      <c r="F1141" s="1039"/>
      <c r="G1141" s="1221"/>
      <c r="H1141" s="1221"/>
      <c r="I1141" s="1040"/>
      <c r="J1141" s="735" t="s">
        <v>438</v>
      </c>
      <c r="K1141" s="1044" t="s">
        <v>439</v>
      </c>
      <c r="L1141" s="1045"/>
      <c r="M1141" s="736">
        <v>5077.5</v>
      </c>
      <c r="N1141" s="1046">
        <v>5077.5</v>
      </c>
      <c r="O1141" s="1047"/>
      <c r="P1141" s="736">
        <v>5077.5</v>
      </c>
      <c r="Q1141" s="736">
        <v>5077.5</v>
      </c>
    </row>
    <row r="1142" spans="2:17" ht="15">
      <c r="B1142" s="1026"/>
      <c r="C1142" s="1031"/>
      <c r="D1142" s="1221"/>
      <c r="E1142" s="1032"/>
      <c r="F1142" s="1039"/>
      <c r="G1142" s="1221"/>
      <c r="H1142" s="1221"/>
      <c r="I1142" s="1040"/>
      <c r="J1142" s="735" t="s">
        <v>440</v>
      </c>
      <c r="K1142" s="1044" t="s">
        <v>441</v>
      </c>
      <c r="L1142" s="1045"/>
      <c r="M1142" s="736">
        <v>5431.5</v>
      </c>
      <c r="N1142" s="1046">
        <v>5431.5</v>
      </c>
      <c r="O1142" s="1047"/>
      <c r="P1142" s="736">
        <v>5431.5</v>
      </c>
      <c r="Q1142" s="736">
        <v>5431.5</v>
      </c>
    </row>
    <row r="1143" spans="2:17" ht="15">
      <c r="B1143" s="1026"/>
      <c r="C1143" s="1031"/>
      <c r="D1143" s="1221"/>
      <c r="E1143" s="1032"/>
      <c r="F1143" s="1039"/>
      <c r="G1143" s="1221"/>
      <c r="H1143" s="1221"/>
      <c r="I1143" s="1040"/>
      <c r="J1143" s="735" t="s">
        <v>442</v>
      </c>
      <c r="K1143" s="1044" t="s">
        <v>443</v>
      </c>
      <c r="L1143" s="1045"/>
      <c r="M1143" s="736">
        <v>4982</v>
      </c>
      <c r="N1143" s="1046">
        <v>4982</v>
      </c>
      <c r="O1143" s="1047"/>
      <c r="P1143" s="736">
        <v>4982</v>
      </c>
      <c r="Q1143" s="736">
        <v>4982</v>
      </c>
    </row>
    <row r="1144" spans="2:17" ht="15">
      <c r="B1144" s="1026"/>
      <c r="C1144" s="1031"/>
      <c r="D1144" s="1221"/>
      <c r="E1144" s="1032"/>
      <c r="F1144" s="1039"/>
      <c r="G1144" s="1221"/>
      <c r="H1144" s="1221"/>
      <c r="I1144" s="1040"/>
      <c r="J1144" s="735" t="s">
        <v>444</v>
      </c>
      <c r="K1144" s="1044" t="s">
        <v>445</v>
      </c>
      <c r="L1144" s="1045"/>
      <c r="M1144" s="736">
        <v>35089.599999999999</v>
      </c>
      <c r="N1144" s="1046">
        <v>5012.8</v>
      </c>
      <c r="O1144" s="1047"/>
      <c r="P1144" s="736">
        <v>5012.8</v>
      </c>
      <c r="Q1144" s="736">
        <v>5012.8</v>
      </c>
    </row>
    <row r="1145" spans="2:17" ht="15">
      <c r="B1145" s="1026"/>
      <c r="C1145" s="1031"/>
      <c r="D1145" s="1221"/>
      <c r="E1145" s="1032"/>
      <c r="F1145" s="1039"/>
      <c r="G1145" s="1221"/>
      <c r="H1145" s="1221"/>
      <c r="I1145" s="1040"/>
      <c r="J1145" s="735" t="s">
        <v>446</v>
      </c>
      <c r="K1145" s="1044" t="s">
        <v>447</v>
      </c>
      <c r="L1145" s="1045"/>
      <c r="M1145" s="736">
        <v>8780.4</v>
      </c>
      <c r="N1145" s="1046">
        <v>5813.5</v>
      </c>
      <c r="O1145" s="1047"/>
      <c r="P1145" s="736">
        <v>5813.5</v>
      </c>
      <c r="Q1145" s="736">
        <v>5813.5</v>
      </c>
    </row>
    <row r="1146" spans="2:17" ht="15">
      <c r="B1146" s="1026"/>
      <c r="C1146" s="1031"/>
      <c r="D1146" s="1221"/>
      <c r="E1146" s="1032"/>
      <c r="F1146" s="1039"/>
      <c r="G1146" s="1221"/>
      <c r="H1146" s="1221"/>
      <c r="I1146" s="1040"/>
      <c r="J1146" s="735" t="s">
        <v>410</v>
      </c>
      <c r="K1146" s="1044" t="s">
        <v>411</v>
      </c>
      <c r="L1146" s="1045"/>
      <c r="M1146" s="737"/>
      <c r="N1146" s="1046">
        <v>26.75</v>
      </c>
      <c r="O1146" s="1047"/>
      <c r="P1146" s="736">
        <v>26.75</v>
      </c>
      <c r="Q1146" s="736">
        <v>26.75</v>
      </c>
    </row>
    <row r="1147" spans="2:17" ht="25.5">
      <c r="B1147" s="1026"/>
      <c r="C1147" s="1031"/>
      <c r="D1147" s="1221"/>
      <c r="E1147" s="1032"/>
      <c r="F1147" s="1041"/>
      <c r="G1147" s="1042"/>
      <c r="H1147" s="1042"/>
      <c r="I1147" s="1043"/>
      <c r="J1147" s="738" t="s">
        <v>141</v>
      </c>
      <c r="K1147" s="1036" t="s">
        <v>412</v>
      </c>
      <c r="L1147" s="1045"/>
      <c r="M1147" s="739">
        <v>63152</v>
      </c>
      <c r="N1147" s="1048" t="s">
        <v>412</v>
      </c>
      <c r="O1147" s="1047"/>
      <c r="P1147" s="737" t="s">
        <v>412</v>
      </c>
      <c r="Q1147" s="737" t="s">
        <v>412</v>
      </c>
    </row>
    <row r="1148" spans="2:17" ht="25.5">
      <c r="B1148" s="1026"/>
      <c r="C1148" s="1033"/>
      <c r="D1148" s="1034"/>
      <c r="E1148" s="1035"/>
      <c r="F1148" s="1049" t="s">
        <v>412</v>
      </c>
      <c r="G1148" s="1050"/>
      <c r="H1148" s="1050"/>
      <c r="I1148" s="1045"/>
      <c r="J1148" s="740" t="s">
        <v>247</v>
      </c>
      <c r="K1148" s="1049" t="s">
        <v>412</v>
      </c>
      <c r="L1148" s="1045"/>
      <c r="M1148" s="739">
        <v>80652</v>
      </c>
      <c r="N1148" s="1048" t="s">
        <v>412</v>
      </c>
      <c r="O1148" s="1047"/>
      <c r="P1148" s="737" t="s">
        <v>412</v>
      </c>
      <c r="Q1148" s="737" t="s">
        <v>412</v>
      </c>
    </row>
    <row r="1149" spans="2:17" ht="15">
      <c r="B1149" s="1026"/>
      <c r="C1149" s="1028" t="s">
        <v>248</v>
      </c>
      <c r="D1149" s="1029"/>
      <c r="E1149" s="1030"/>
      <c r="F1149" s="1036" t="s">
        <v>448</v>
      </c>
      <c r="G1149" s="1037"/>
      <c r="H1149" s="1037"/>
      <c r="I1149" s="1038"/>
      <c r="J1149" s="735" t="s">
        <v>434</v>
      </c>
      <c r="K1149" s="1044" t="s">
        <v>435</v>
      </c>
      <c r="L1149" s="1045"/>
      <c r="M1149" s="736">
        <v>17500</v>
      </c>
      <c r="N1149" s="1046">
        <v>3181.82</v>
      </c>
      <c r="O1149" s="1047"/>
      <c r="P1149" s="736">
        <v>3181.82</v>
      </c>
      <c r="Q1149" s="736">
        <v>3181.82</v>
      </c>
    </row>
    <row r="1150" spans="2:17" ht="25.5">
      <c r="B1150" s="1026"/>
      <c r="C1150" s="1031"/>
      <c r="D1150" s="1221"/>
      <c r="E1150" s="1032"/>
      <c r="F1150" s="1041"/>
      <c r="G1150" s="1042"/>
      <c r="H1150" s="1042"/>
      <c r="I1150" s="1043"/>
      <c r="J1150" s="738" t="s">
        <v>141</v>
      </c>
      <c r="K1150" s="1036" t="s">
        <v>412</v>
      </c>
      <c r="L1150" s="1045"/>
      <c r="M1150" s="739">
        <v>17500</v>
      </c>
      <c r="N1150" s="1048" t="s">
        <v>412</v>
      </c>
      <c r="O1150" s="1047"/>
      <c r="P1150" s="737" t="s">
        <v>412</v>
      </c>
      <c r="Q1150" s="737" t="s">
        <v>412</v>
      </c>
    </row>
    <row r="1151" spans="2:17" ht="15">
      <c r="B1151" s="1026"/>
      <c r="C1151" s="1031"/>
      <c r="D1151" s="1221"/>
      <c r="E1151" s="1032"/>
      <c r="F1151" s="1036" t="s">
        <v>281</v>
      </c>
      <c r="G1151" s="1037"/>
      <c r="H1151" s="1037"/>
      <c r="I1151" s="1038"/>
      <c r="J1151" s="735" t="s">
        <v>436</v>
      </c>
      <c r="K1151" s="1044" t="s">
        <v>437</v>
      </c>
      <c r="L1151" s="1045"/>
      <c r="M1151" s="736">
        <v>11373</v>
      </c>
      <c r="N1151" s="1046">
        <v>3791</v>
      </c>
      <c r="O1151" s="1047"/>
      <c r="P1151" s="736">
        <v>3791</v>
      </c>
      <c r="Q1151" s="736">
        <v>3791</v>
      </c>
    </row>
    <row r="1152" spans="2:17" ht="15">
      <c r="B1152" s="1026"/>
      <c r="C1152" s="1031"/>
      <c r="D1152" s="1221"/>
      <c r="E1152" s="1032"/>
      <c r="F1152" s="1039"/>
      <c r="G1152" s="1221"/>
      <c r="H1152" s="1221"/>
      <c r="I1152" s="1040"/>
      <c r="J1152" s="735" t="s">
        <v>438</v>
      </c>
      <c r="K1152" s="1044" t="s">
        <v>439</v>
      </c>
      <c r="L1152" s="1045"/>
      <c r="M1152" s="736">
        <v>5077.5</v>
      </c>
      <c r="N1152" s="1046">
        <v>5077.5</v>
      </c>
      <c r="O1152" s="1047"/>
      <c r="P1152" s="736">
        <v>5077.5</v>
      </c>
      <c r="Q1152" s="736">
        <v>5077.5</v>
      </c>
    </row>
    <row r="1153" spans="1:17" ht="15">
      <c r="B1153" s="1026"/>
      <c r="C1153" s="1031"/>
      <c r="D1153" s="1221"/>
      <c r="E1153" s="1032"/>
      <c r="F1153" s="1039"/>
      <c r="G1153" s="1221"/>
      <c r="H1153" s="1221"/>
      <c r="I1153" s="1040"/>
      <c r="J1153" s="735" t="s">
        <v>440</v>
      </c>
      <c r="K1153" s="1044" t="s">
        <v>441</v>
      </c>
      <c r="L1153" s="1045"/>
      <c r="M1153" s="736">
        <v>5431.5</v>
      </c>
      <c r="N1153" s="1046">
        <v>5431.5</v>
      </c>
      <c r="O1153" s="1047"/>
      <c r="P1153" s="736">
        <v>5431.5</v>
      </c>
      <c r="Q1153" s="736">
        <v>5431.5</v>
      </c>
    </row>
    <row r="1154" spans="1:17" ht="15">
      <c r="B1154" s="1026"/>
      <c r="C1154" s="1031"/>
      <c r="D1154" s="1221"/>
      <c r="E1154" s="1032"/>
      <c r="F1154" s="1039"/>
      <c r="G1154" s="1221"/>
      <c r="H1154" s="1221"/>
      <c r="I1154" s="1040"/>
      <c r="J1154" s="735" t="s">
        <v>442</v>
      </c>
      <c r="K1154" s="1044" t="s">
        <v>443</v>
      </c>
      <c r="L1154" s="1045"/>
      <c r="M1154" s="736">
        <v>4982</v>
      </c>
      <c r="N1154" s="1046">
        <v>4982</v>
      </c>
      <c r="O1154" s="1047"/>
      <c r="P1154" s="736">
        <v>4982</v>
      </c>
      <c r="Q1154" s="736">
        <v>4982</v>
      </c>
    </row>
    <row r="1155" spans="1:17" ht="15">
      <c r="B1155" s="1026"/>
      <c r="C1155" s="1031"/>
      <c r="D1155" s="1221"/>
      <c r="E1155" s="1032"/>
      <c r="F1155" s="1039"/>
      <c r="G1155" s="1221"/>
      <c r="H1155" s="1221"/>
      <c r="I1155" s="1040"/>
      <c r="J1155" s="735" t="s">
        <v>444</v>
      </c>
      <c r="K1155" s="1044" t="s">
        <v>445</v>
      </c>
      <c r="L1155" s="1045"/>
      <c r="M1155" s="736">
        <v>35089.599999999999</v>
      </c>
      <c r="N1155" s="1046">
        <v>5012.8</v>
      </c>
      <c r="O1155" s="1047"/>
      <c r="P1155" s="736">
        <v>5012.8</v>
      </c>
      <c r="Q1155" s="736">
        <v>5012.8</v>
      </c>
    </row>
    <row r="1156" spans="1:17" ht="15">
      <c r="B1156" s="1026"/>
      <c r="C1156" s="1031"/>
      <c r="D1156" s="1221"/>
      <c r="E1156" s="1032"/>
      <c r="F1156" s="1039"/>
      <c r="G1156" s="1221"/>
      <c r="H1156" s="1221"/>
      <c r="I1156" s="1040"/>
      <c r="J1156" s="735" t="s">
        <v>446</v>
      </c>
      <c r="K1156" s="1044" t="s">
        <v>447</v>
      </c>
      <c r="L1156" s="1045"/>
      <c r="M1156" s="736">
        <v>8780.4</v>
      </c>
      <c r="N1156" s="1046">
        <v>5813.5</v>
      </c>
      <c r="O1156" s="1047"/>
      <c r="P1156" s="736">
        <v>5813.5</v>
      </c>
      <c r="Q1156" s="736">
        <v>5813.5</v>
      </c>
    </row>
    <row r="1157" spans="1:17" ht="25.5">
      <c r="B1157" s="1026"/>
      <c r="C1157" s="1031"/>
      <c r="D1157" s="1221"/>
      <c r="E1157" s="1032"/>
      <c r="F1157" s="1041"/>
      <c r="G1157" s="1042"/>
      <c r="H1157" s="1042"/>
      <c r="I1157" s="1043"/>
      <c r="J1157" s="738" t="s">
        <v>141</v>
      </c>
      <c r="K1157" s="1036" t="s">
        <v>412</v>
      </c>
      <c r="L1157" s="1045"/>
      <c r="M1157" s="739">
        <v>70734</v>
      </c>
      <c r="N1157" s="1048" t="s">
        <v>412</v>
      </c>
      <c r="O1157" s="1047"/>
      <c r="P1157" s="737" t="s">
        <v>412</v>
      </c>
      <c r="Q1157" s="737" t="s">
        <v>412</v>
      </c>
    </row>
    <row r="1158" spans="1:17" ht="25.5">
      <c r="B1158" s="1026"/>
      <c r="C1158" s="1033"/>
      <c r="D1158" s="1034"/>
      <c r="E1158" s="1035"/>
      <c r="F1158" s="1049" t="s">
        <v>412</v>
      </c>
      <c r="G1158" s="1050"/>
      <c r="H1158" s="1050"/>
      <c r="I1158" s="1045"/>
      <c r="J1158" s="740" t="s">
        <v>247</v>
      </c>
      <c r="K1158" s="1049" t="s">
        <v>412</v>
      </c>
      <c r="L1158" s="1045"/>
      <c r="M1158" s="739">
        <v>88234</v>
      </c>
      <c r="N1158" s="1048" t="s">
        <v>412</v>
      </c>
      <c r="O1158" s="1047"/>
      <c r="P1158" s="737" t="s">
        <v>412</v>
      </c>
      <c r="Q1158" s="737" t="s">
        <v>412</v>
      </c>
    </row>
    <row r="1159" spans="1:17" ht="25.5">
      <c r="B1159" s="1027"/>
      <c r="C1159" s="1028" t="s">
        <v>412</v>
      </c>
      <c r="D1159" s="1051"/>
      <c r="E1159" s="1052"/>
      <c r="F1159" s="1049" t="s">
        <v>412</v>
      </c>
      <c r="G1159" s="1050"/>
      <c r="H1159" s="1050"/>
      <c r="I1159" s="1045"/>
      <c r="J1159" s="740" t="s">
        <v>301</v>
      </c>
      <c r="K1159" s="1049" t="s">
        <v>412</v>
      </c>
      <c r="L1159" s="1045"/>
      <c r="M1159" s="739">
        <v>168886</v>
      </c>
      <c r="N1159" s="1048" t="s">
        <v>412</v>
      </c>
      <c r="O1159" s="1047"/>
      <c r="P1159" s="737" t="s">
        <v>412</v>
      </c>
      <c r="Q1159" s="737" t="s">
        <v>412</v>
      </c>
    </row>
    <row r="1162" spans="1:17" ht="15">
      <c r="A1162" s="869" t="s">
        <v>413</v>
      </c>
      <c r="B1162" s="95" t="s">
        <v>449</v>
      </c>
    </row>
    <row r="1163" spans="1:17" ht="71.25">
      <c r="B1163" s="734" t="s">
        <v>127</v>
      </c>
      <c r="C1163" s="1022" t="s">
        <v>128</v>
      </c>
      <c r="D1163" s="1023"/>
      <c r="E1163" s="1024"/>
      <c r="F1163" s="1022" t="s">
        <v>129</v>
      </c>
      <c r="G1163" s="1023"/>
      <c r="H1163" s="1023"/>
      <c r="I1163" s="1024"/>
      <c r="J1163" s="734" t="s">
        <v>130</v>
      </c>
      <c r="K1163" s="1022" t="s">
        <v>131</v>
      </c>
      <c r="L1163" s="1024"/>
      <c r="M1163" s="734" t="s">
        <v>132</v>
      </c>
      <c r="N1163" s="1022" t="s">
        <v>133</v>
      </c>
      <c r="O1163" s="1024"/>
      <c r="P1163" s="734" t="s">
        <v>134</v>
      </c>
      <c r="Q1163" s="734" t="s">
        <v>405</v>
      </c>
    </row>
    <row r="1164" spans="1:17" ht="15">
      <c r="B1164" s="1025">
        <v>5</v>
      </c>
      <c r="C1164" s="1028" t="s">
        <v>136</v>
      </c>
      <c r="D1164" s="1029"/>
      <c r="E1164" s="1030"/>
      <c r="F1164" s="1036" t="s">
        <v>224</v>
      </c>
      <c r="G1164" s="1037"/>
      <c r="H1164" s="1037"/>
      <c r="I1164" s="1038"/>
      <c r="J1164" s="735" t="s">
        <v>408</v>
      </c>
      <c r="K1164" s="1044" t="s">
        <v>409</v>
      </c>
      <c r="L1164" s="1045"/>
      <c r="M1164" s="736">
        <v>27524.5</v>
      </c>
      <c r="N1164" s="1046">
        <v>102.35</v>
      </c>
      <c r="O1164" s="1047"/>
      <c r="P1164" s="736">
        <v>102.35</v>
      </c>
      <c r="Q1164" s="736">
        <v>102.35</v>
      </c>
    </row>
    <row r="1165" spans="1:17" ht="15">
      <c r="B1165" s="1026"/>
      <c r="C1165" s="1031"/>
      <c r="D1165" s="1221"/>
      <c r="E1165" s="1032"/>
      <c r="F1165" s="1039"/>
      <c r="G1165" s="1221"/>
      <c r="H1165" s="1221"/>
      <c r="I1165" s="1040"/>
      <c r="J1165" s="735" t="s">
        <v>323</v>
      </c>
      <c r="K1165" s="1044" t="s">
        <v>324</v>
      </c>
      <c r="L1165" s="1045"/>
      <c r="M1165" s="736">
        <v>80988.5</v>
      </c>
      <c r="N1165" s="1046">
        <v>102.35</v>
      </c>
      <c r="O1165" s="1047"/>
      <c r="P1165" s="736">
        <v>102.35</v>
      </c>
      <c r="Q1165" s="736">
        <v>102.35</v>
      </c>
    </row>
    <row r="1166" spans="1:17" ht="15" customHeight="1">
      <c r="B1166" s="1026"/>
      <c r="C1166" s="1031"/>
      <c r="D1166" s="1221"/>
      <c r="E1166" s="1032"/>
      <c r="F1166" s="1039"/>
      <c r="G1166" s="1221"/>
      <c r="H1166" s="1221"/>
      <c r="I1166" s="1040"/>
      <c r="J1166" s="735" t="s">
        <v>450</v>
      </c>
      <c r="K1166" s="1044" t="s">
        <v>451</v>
      </c>
      <c r="L1166" s="1045"/>
      <c r="M1166" s="736">
        <v>30055.5</v>
      </c>
      <c r="N1166" s="1046">
        <v>102.35</v>
      </c>
      <c r="O1166" s="1047"/>
      <c r="P1166" s="736">
        <v>102.35</v>
      </c>
      <c r="Q1166" s="736">
        <v>102.35</v>
      </c>
    </row>
    <row r="1167" spans="1:17" ht="15" customHeight="1">
      <c r="B1167" s="1026"/>
      <c r="C1167" s="1031"/>
      <c r="D1167" s="1221"/>
      <c r="E1167" s="1032"/>
      <c r="F1167" s="1039"/>
      <c r="G1167" s="1221"/>
      <c r="H1167" s="1221"/>
      <c r="I1167" s="1040"/>
      <c r="J1167" s="735" t="s">
        <v>410</v>
      </c>
      <c r="K1167" s="1044" t="s">
        <v>411</v>
      </c>
      <c r="L1167" s="1045"/>
      <c r="M1167" s="736">
        <v>1500</v>
      </c>
      <c r="N1167" s="1046">
        <v>26.75</v>
      </c>
      <c r="O1167" s="1047"/>
      <c r="P1167" s="736">
        <v>26.75</v>
      </c>
      <c r="Q1167" s="736">
        <v>26.75</v>
      </c>
    </row>
    <row r="1168" spans="1:17" ht="15">
      <c r="B1168" s="1026"/>
      <c r="C1168" s="1031"/>
      <c r="D1168" s="1221"/>
      <c r="E1168" s="1032"/>
      <c r="F1168" s="1039"/>
      <c r="G1168" s="1221"/>
      <c r="H1168" s="1221"/>
      <c r="I1168" s="1040"/>
      <c r="J1168" s="735" t="s">
        <v>227</v>
      </c>
      <c r="K1168" s="1044" t="s">
        <v>228</v>
      </c>
      <c r="L1168" s="1045"/>
      <c r="M1168" s="736">
        <v>247312</v>
      </c>
      <c r="N1168" s="1046">
        <v>0</v>
      </c>
      <c r="O1168" s="1047"/>
      <c r="P1168" s="736">
        <v>0</v>
      </c>
      <c r="Q1168" s="737"/>
    </row>
    <row r="1169" spans="1:17" ht="25.5">
      <c r="B1169" s="1026"/>
      <c r="C1169" s="1031"/>
      <c r="D1169" s="1221"/>
      <c r="E1169" s="1032"/>
      <c r="F1169" s="1041"/>
      <c r="G1169" s="1042"/>
      <c r="H1169" s="1042"/>
      <c r="I1169" s="1043"/>
      <c r="J1169" s="738" t="s">
        <v>141</v>
      </c>
      <c r="K1169" s="1036" t="s">
        <v>412</v>
      </c>
      <c r="L1169" s="1045"/>
      <c r="M1169" s="739">
        <f>SUM(M1164:M1168)</f>
        <v>387380.5</v>
      </c>
      <c r="N1169" s="1048" t="s">
        <v>412</v>
      </c>
      <c r="O1169" s="1047"/>
      <c r="P1169" s="737" t="s">
        <v>412</v>
      </c>
      <c r="Q1169" s="737" t="s">
        <v>412</v>
      </c>
    </row>
    <row r="1170" spans="1:17" ht="15" customHeight="1">
      <c r="B1170" s="1026"/>
      <c r="C1170" s="1033"/>
      <c r="D1170" s="1034"/>
      <c r="E1170" s="1035"/>
      <c r="F1170" s="1049" t="s">
        <v>412</v>
      </c>
      <c r="G1170" s="1050"/>
      <c r="H1170" s="1050"/>
      <c r="I1170" s="1045"/>
      <c r="J1170" s="740" t="s">
        <v>247</v>
      </c>
      <c r="K1170" s="1049" t="s">
        <v>412</v>
      </c>
      <c r="L1170" s="1045"/>
      <c r="M1170" s="739">
        <f>M1169</f>
        <v>387380.5</v>
      </c>
      <c r="N1170" s="1048" t="s">
        <v>412</v>
      </c>
      <c r="O1170" s="1047"/>
      <c r="P1170" s="737" t="s">
        <v>412</v>
      </c>
      <c r="Q1170" s="737" t="s">
        <v>412</v>
      </c>
    </row>
    <row r="1171" spans="1:17" ht="15" customHeight="1">
      <c r="B1171" s="1026"/>
      <c r="C1171" s="1028" t="s">
        <v>248</v>
      </c>
      <c r="D1171" s="1029"/>
      <c r="E1171" s="1030"/>
      <c r="F1171" s="1036" t="s">
        <v>281</v>
      </c>
      <c r="G1171" s="1037"/>
      <c r="H1171" s="1037"/>
      <c r="I1171" s="1038"/>
      <c r="J1171" s="735" t="s">
        <v>408</v>
      </c>
      <c r="K1171" s="1044" t="s">
        <v>409</v>
      </c>
      <c r="L1171" s="1045"/>
      <c r="M1171" s="736">
        <v>26024.5</v>
      </c>
      <c r="N1171" s="1046">
        <v>102.35</v>
      </c>
      <c r="O1171" s="1047"/>
      <c r="P1171" s="736">
        <v>102.35</v>
      </c>
      <c r="Q1171" s="736">
        <v>102.35</v>
      </c>
    </row>
    <row r="1172" spans="1:17" ht="15">
      <c r="B1172" s="1026"/>
      <c r="C1172" s="1031"/>
      <c r="D1172" s="1221"/>
      <c r="E1172" s="1032"/>
      <c r="F1172" s="1039"/>
      <c r="G1172" s="1221"/>
      <c r="H1172" s="1221"/>
      <c r="I1172" s="1040"/>
      <c r="J1172" s="735" t="s">
        <v>323</v>
      </c>
      <c r="K1172" s="1044" t="s">
        <v>324</v>
      </c>
      <c r="L1172" s="1045"/>
      <c r="M1172" s="736">
        <v>80987.5</v>
      </c>
      <c r="N1172" s="1046">
        <v>102.35</v>
      </c>
      <c r="O1172" s="1047"/>
      <c r="P1172" s="736">
        <v>102.35</v>
      </c>
      <c r="Q1172" s="736">
        <v>102.35</v>
      </c>
    </row>
    <row r="1173" spans="1:17" ht="15">
      <c r="B1173" s="1026"/>
      <c r="C1173" s="1031"/>
      <c r="D1173" s="1221"/>
      <c r="E1173" s="1032"/>
      <c r="F1173" s="1039"/>
      <c r="G1173" s="1221"/>
      <c r="H1173" s="1221"/>
      <c r="I1173" s="1040"/>
      <c r="J1173" s="735" t="s">
        <v>450</v>
      </c>
      <c r="K1173" s="1044" t="s">
        <v>451</v>
      </c>
      <c r="L1173" s="1045"/>
      <c r="M1173" s="736">
        <v>30055.5</v>
      </c>
      <c r="N1173" s="1046">
        <v>102.35</v>
      </c>
      <c r="O1173" s="1047"/>
      <c r="P1173" s="736">
        <v>102.35</v>
      </c>
      <c r="Q1173" s="736">
        <v>102.35</v>
      </c>
    </row>
    <row r="1174" spans="1:17" ht="15">
      <c r="B1174" s="1026"/>
      <c r="C1174" s="1031"/>
      <c r="D1174" s="1221"/>
      <c r="E1174" s="1032"/>
      <c r="F1174" s="1039"/>
      <c r="G1174" s="1221"/>
      <c r="H1174" s="1221"/>
      <c r="I1174" s="1040"/>
      <c r="J1174" s="735" t="s">
        <v>410</v>
      </c>
      <c r="K1174" s="1044" t="s">
        <v>411</v>
      </c>
      <c r="L1174" s="1045"/>
      <c r="M1174" s="736">
        <v>1500</v>
      </c>
      <c r="N1174" s="1046">
        <v>26.75</v>
      </c>
      <c r="O1174" s="1047"/>
      <c r="P1174" s="736">
        <v>26.75</v>
      </c>
      <c r="Q1174" s="736">
        <v>26.75</v>
      </c>
    </row>
    <row r="1175" spans="1:17" ht="15">
      <c r="B1175" s="1026"/>
      <c r="C1175" s="1031"/>
      <c r="D1175" s="1221"/>
      <c r="E1175" s="1032"/>
      <c r="F1175" s="1039"/>
      <c r="G1175" s="1221"/>
      <c r="H1175" s="1221"/>
      <c r="I1175" s="1040"/>
      <c r="J1175" s="735" t="s">
        <v>227</v>
      </c>
      <c r="K1175" s="1044" t="s">
        <v>228</v>
      </c>
      <c r="L1175" s="1045"/>
      <c r="M1175" s="736">
        <v>247312</v>
      </c>
      <c r="N1175" s="1046">
        <v>0</v>
      </c>
      <c r="O1175" s="1047"/>
      <c r="P1175" s="736">
        <v>0</v>
      </c>
      <c r="Q1175" s="737"/>
    </row>
    <row r="1176" spans="1:17" ht="25.5">
      <c r="B1176" s="1026"/>
      <c r="C1176" s="1031"/>
      <c r="D1176" s="1221"/>
      <c r="E1176" s="1032"/>
      <c r="F1176" s="1041"/>
      <c r="G1176" s="1042"/>
      <c r="H1176" s="1042"/>
      <c r="I1176" s="1043"/>
      <c r="J1176" s="738" t="s">
        <v>141</v>
      </c>
      <c r="K1176" s="1036" t="s">
        <v>412</v>
      </c>
      <c r="L1176" s="1045"/>
      <c r="M1176" s="739">
        <f>SUM(M1171:M1175)</f>
        <v>385879.5</v>
      </c>
      <c r="N1176" s="1048" t="s">
        <v>412</v>
      </c>
      <c r="O1176" s="1047"/>
      <c r="P1176" s="737" t="s">
        <v>412</v>
      </c>
      <c r="Q1176" s="737" t="s">
        <v>412</v>
      </c>
    </row>
    <row r="1177" spans="1:17" ht="25.5">
      <c r="B1177" s="1026"/>
      <c r="C1177" s="1033"/>
      <c r="D1177" s="1034"/>
      <c r="E1177" s="1035"/>
      <c r="F1177" s="1049" t="s">
        <v>412</v>
      </c>
      <c r="G1177" s="1050"/>
      <c r="H1177" s="1050"/>
      <c r="I1177" s="1045"/>
      <c r="J1177" s="740" t="s">
        <v>247</v>
      </c>
      <c r="K1177" s="1049" t="s">
        <v>412</v>
      </c>
      <c r="L1177" s="1045"/>
      <c r="M1177" s="739">
        <f>M1176</f>
        <v>385879.5</v>
      </c>
      <c r="N1177" s="1048" t="s">
        <v>412</v>
      </c>
      <c r="O1177" s="1047"/>
      <c r="P1177" s="737" t="s">
        <v>412</v>
      </c>
      <c r="Q1177" s="737" t="s">
        <v>412</v>
      </c>
    </row>
    <row r="1178" spans="1:17" ht="25.5">
      <c r="B1178" s="1027"/>
      <c r="C1178" s="1028" t="s">
        <v>412</v>
      </c>
      <c r="D1178" s="1051"/>
      <c r="E1178" s="1052"/>
      <c r="F1178" s="1049" t="s">
        <v>412</v>
      </c>
      <c r="G1178" s="1050"/>
      <c r="H1178" s="1050"/>
      <c r="I1178" s="1045"/>
      <c r="J1178" s="740" t="s">
        <v>301</v>
      </c>
      <c r="K1178" s="1049" t="s">
        <v>412</v>
      </c>
      <c r="L1178" s="1045"/>
      <c r="M1178" s="739">
        <f>M1177+M1170</f>
        <v>773260</v>
      </c>
      <c r="N1178" s="1048" t="s">
        <v>412</v>
      </c>
      <c r="O1178" s="1047"/>
      <c r="P1178" s="737" t="s">
        <v>412</v>
      </c>
      <c r="Q1178" s="737" t="s">
        <v>412</v>
      </c>
    </row>
    <row r="1181" spans="1:17" ht="15">
      <c r="A1181" s="869" t="s">
        <v>413</v>
      </c>
      <c r="B1181" s="95" t="s">
        <v>452</v>
      </c>
    </row>
    <row r="1182" spans="1:17" ht="71.25">
      <c r="B1182" s="734" t="s">
        <v>127</v>
      </c>
      <c r="C1182" s="1022" t="s">
        <v>128</v>
      </c>
      <c r="D1182" s="1023"/>
      <c r="E1182" s="1024"/>
      <c r="F1182" s="1022" t="s">
        <v>129</v>
      </c>
      <c r="G1182" s="1023"/>
      <c r="H1182" s="1023"/>
      <c r="I1182" s="1024"/>
      <c r="J1182" s="734" t="s">
        <v>130</v>
      </c>
      <c r="K1182" s="1022" t="s">
        <v>131</v>
      </c>
      <c r="L1182" s="1024"/>
      <c r="M1182" s="734" t="s">
        <v>132</v>
      </c>
      <c r="N1182" s="1022" t="s">
        <v>133</v>
      </c>
      <c r="O1182" s="1024"/>
      <c r="P1182" s="734" t="s">
        <v>134</v>
      </c>
      <c r="Q1182" s="734" t="s">
        <v>405</v>
      </c>
    </row>
    <row r="1183" spans="1:17" ht="15">
      <c r="B1183" s="1025">
        <v>5</v>
      </c>
      <c r="C1183" s="1028" t="s">
        <v>136</v>
      </c>
      <c r="D1183" s="1029"/>
      <c r="E1183" s="1030"/>
      <c r="F1183" s="1036" t="s">
        <v>394</v>
      </c>
      <c r="G1183" s="1037"/>
      <c r="H1183" s="1037"/>
      <c r="I1183" s="1038"/>
      <c r="J1183" s="735" t="s">
        <v>395</v>
      </c>
      <c r="K1183" s="1044" t="s">
        <v>396</v>
      </c>
      <c r="L1183" s="1045"/>
      <c r="M1183" s="736">
        <v>16000</v>
      </c>
      <c r="N1183" s="1046">
        <v>157.57</v>
      </c>
      <c r="O1183" s="1047"/>
      <c r="P1183" s="736">
        <v>157.57</v>
      </c>
      <c r="Q1183" s="736">
        <v>157.57</v>
      </c>
    </row>
    <row r="1184" spans="1:17" ht="15">
      <c r="B1184" s="1026"/>
      <c r="C1184" s="1031"/>
      <c r="D1184" s="1221"/>
      <c r="E1184" s="1032"/>
      <c r="F1184" s="1039"/>
      <c r="G1184" s="1221"/>
      <c r="H1184" s="1221"/>
      <c r="I1184" s="1040"/>
      <c r="J1184" s="735" t="s">
        <v>410</v>
      </c>
      <c r="K1184" s="1044" t="s">
        <v>411</v>
      </c>
      <c r="L1184" s="1045"/>
      <c r="M1184" s="737"/>
      <c r="N1184" s="1046">
        <v>26.75</v>
      </c>
      <c r="O1184" s="1047"/>
      <c r="P1184" s="736">
        <v>26.75</v>
      </c>
      <c r="Q1184" s="736">
        <v>26.75</v>
      </c>
    </row>
    <row r="1185" spans="1:17" ht="25.5">
      <c r="B1185" s="1026"/>
      <c r="C1185" s="1031"/>
      <c r="D1185" s="1221"/>
      <c r="E1185" s="1032"/>
      <c r="F1185" s="1041"/>
      <c r="G1185" s="1042"/>
      <c r="H1185" s="1042"/>
      <c r="I1185" s="1043"/>
      <c r="J1185" s="738" t="s">
        <v>141</v>
      </c>
      <c r="K1185" s="1036" t="s">
        <v>412</v>
      </c>
      <c r="L1185" s="1045"/>
      <c r="M1185" s="739">
        <v>16000</v>
      </c>
      <c r="N1185" s="1048" t="s">
        <v>412</v>
      </c>
      <c r="O1185" s="1047"/>
      <c r="P1185" s="737" t="s">
        <v>412</v>
      </c>
      <c r="Q1185" s="737" t="s">
        <v>412</v>
      </c>
    </row>
    <row r="1186" spans="1:17" ht="25.5">
      <c r="B1186" s="1026"/>
      <c r="C1186" s="1033"/>
      <c r="D1186" s="1034"/>
      <c r="E1186" s="1035"/>
      <c r="F1186" s="1049" t="s">
        <v>412</v>
      </c>
      <c r="G1186" s="1050"/>
      <c r="H1186" s="1050"/>
      <c r="I1186" s="1045"/>
      <c r="J1186" s="740" t="s">
        <v>247</v>
      </c>
      <c r="K1186" s="1049" t="s">
        <v>412</v>
      </c>
      <c r="L1186" s="1045"/>
      <c r="M1186" s="739">
        <v>16000</v>
      </c>
      <c r="N1186" s="1048" t="s">
        <v>412</v>
      </c>
      <c r="O1186" s="1047"/>
      <c r="P1186" s="737" t="s">
        <v>412</v>
      </c>
      <c r="Q1186" s="737" t="s">
        <v>412</v>
      </c>
    </row>
    <row r="1187" spans="1:17" ht="15">
      <c r="B1187" s="1026"/>
      <c r="C1187" s="1028" t="s">
        <v>248</v>
      </c>
      <c r="D1187" s="1029"/>
      <c r="E1187" s="1030"/>
      <c r="F1187" s="1036" t="s">
        <v>401</v>
      </c>
      <c r="G1187" s="1037"/>
      <c r="H1187" s="1037"/>
      <c r="I1187" s="1038"/>
      <c r="J1187" s="735" t="s">
        <v>395</v>
      </c>
      <c r="K1187" s="1044" t="s">
        <v>396</v>
      </c>
      <c r="L1187" s="1045"/>
      <c r="M1187" s="736">
        <v>36000</v>
      </c>
      <c r="N1187" s="1046">
        <v>160.61000000000001</v>
      </c>
      <c r="O1187" s="1047"/>
      <c r="P1187" s="736">
        <v>160.61000000000001</v>
      </c>
      <c r="Q1187" s="736">
        <v>160.61000000000001</v>
      </c>
    </row>
    <row r="1188" spans="1:17" ht="15">
      <c r="B1188" s="1026"/>
      <c r="C1188" s="1031"/>
      <c r="D1188" s="1221"/>
      <c r="E1188" s="1032"/>
      <c r="F1188" s="1039"/>
      <c r="G1188" s="1221"/>
      <c r="H1188" s="1221"/>
      <c r="I1188" s="1040"/>
      <c r="J1188" s="735" t="s">
        <v>410</v>
      </c>
      <c r="K1188" s="1044" t="s">
        <v>411</v>
      </c>
      <c r="L1188" s="1045"/>
      <c r="M1188" s="737"/>
      <c r="N1188" s="1046">
        <v>26.75</v>
      </c>
      <c r="O1188" s="1047"/>
      <c r="P1188" s="736">
        <v>26.75</v>
      </c>
      <c r="Q1188" s="736">
        <v>26.75</v>
      </c>
    </row>
    <row r="1189" spans="1:17" ht="25.5">
      <c r="B1189" s="1026"/>
      <c r="C1189" s="1031"/>
      <c r="D1189" s="1221"/>
      <c r="E1189" s="1032"/>
      <c r="F1189" s="1041"/>
      <c r="G1189" s="1042"/>
      <c r="H1189" s="1042"/>
      <c r="I1189" s="1043"/>
      <c r="J1189" s="738" t="s">
        <v>141</v>
      </c>
      <c r="K1189" s="1036" t="s">
        <v>412</v>
      </c>
      <c r="L1189" s="1045"/>
      <c r="M1189" s="739">
        <v>36000</v>
      </c>
      <c r="N1189" s="1048" t="s">
        <v>412</v>
      </c>
      <c r="O1189" s="1047"/>
      <c r="P1189" s="737" t="s">
        <v>412</v>
      </c>
      <c r="Q1189" s="737" t="s">
        <v>412</v>
      </c>
    </row>
    <row r="1190" spans="1:17" ht="25.5">
      <c r="B1190" s="1026"/>
      <c r="C1190" s="1033"/>
      <c r="D1190" s="1034"/>
      <c r="E1190" s="1035"/>
      <c r="F1190" s="1049" t="s">
        <v>412</v>
      </c>
      <c r="G1190" s="1050"/>
      <c r="H1190" s="1050"/>
      <c r="I1190" s="1045"/>
      <c r="J1190" s="740" t="s">
        <v>247</v>
      </c>
      <c r="K1190" s="1049" t="s">
        <v>412</v>
      </c>
      <c r="L1190" s="1045"/>
      <c r="M1190" s="739">
        <v>36000</v>
      </c>
      <c r="N1190" s="1048" t="s">
        <v>412</v>
      </c>
      <c r="O1190" s="1047"/>
      <c r="P1190" s="737" t="s">
        <v>412</v>
      </c>
      <c r="Q1190" s="737" t="s">
        <v>412</v>
      </c>
    </row>
    <row r="1191" spans="1:17" ht="25.5">
      <c r="B1191" s="1027"/>
      <c r="C1191" s="1028" t="s">
        <v>412</v>
      </c>
      <c r="D1191" s="1051"/>
      <c r="E1191" s="1052"/>
      <c r="F1191" s="1049" t="s">
        <v>412</v>
      </c>
      <c r="G1191" s="1050"/>
      <c r="H1191" s="1050"/>
      <c r="I1191" s="1045"/>
      <c r="J1191" s="740" t="s">
        <v>301</v>
      </c>
      <c r="K1191" s="1049" t="s">
        <v>412</v>
      </c>
      <c r="L1191" s="1045"/>
      <c r="M1191" s="739">
        <v>52000</v>
      </c>
      <c r="N1191" s="1048" t="s">
        <v>412</v>
      </c>
      <c r="O1191" s="1047"/>
      <c r="P1191" s="737" t="s">
        <v>412</v>
      </c>
      <c r="Q1191" s="737" t="s">
        <v>412</v>
      </c>
    </row>
    <row r="1194" spans="1:17" ht="15">
      <c r="A1194" s="869" t="s">
        <v>413</v>
      </c>
      <c r="B1194" s="95" t="s">
        <v>453</v>
      </c>
    </row>
    <row r="1195" spans="1:17" ht="71.25">
      <c r="B1195" s="734" t="s">
        <v>127</v>
      </c>
      <c r="C1195" s="1022" t="s">
        <v>128</v>
      </c>
      <c r="D1195" s="1023"/>
      <c r="E1195" s="1024"/>
      <c r="F1195" s="1022" t="s">
        <v>129</v>
      </c>
      <c r="G1195" s="1023"/>
      <c r="H1195" s="1023"/>
      <c r="I1195" s="1024"/>
      <c r="J1195" s="734" t="s">
        <v>130</v>
      </c>
      <c r="K1195" s="1022" t="s">
        <v>131</v>
      </c>
      <c r="L1195" s="1024"/>
      <c r="M1195" s="734" t="s">
        <v>132</v>
      </c>
      <c r="N1195" s="1022" t="s">
        <v>133</v>
      </c>
      <c r="O1195" s="1024"/>
      <c r="P1195" s="734" t="s">
        <v>134</v>
      </c>
      <c r="Q1195" s="734" t="s">
        <v>405</v>
      </c>
    </row>
    <row r="1196" spans="1:17" ht="15">
      <c r="B1196" s="1025">
        <v>5</v>
      </c>
      <c r="C1196" s="1028" t="s">
        <v>136</v>
      </c>
      <c r="D1196" s="1029"/>
      <c r="E1196" s="1030"/>
      <c r="F1196" s="1036" t="s">
        <v>224</v>
      </c>
      <c r="G1196" s="1037"/>
      <c r="H1196" s="1037"/>
      <c r="I1196" s="1038"/>
      <c r="J1196" s="735" t="s">
        <v>227</v>
      </c>
      <c r="K1196" s="1044" t="s">
        <v>228</v>
      </c>
      <c r="L1196" s="1045"/>
      <c r="M1196" s="736">
        <v>46000</v>
      </c>
      <c r="N1196" s="1046">
        <v>0</v>
      </c>
      <c r="O1196" s="1047"/>
      <c r="P1196" s="736">
        <v>0</v>
      </c>
      <c r="Q1196" s="737"/>
    </row>
    <row r="1197" spans="1:17" ht="25.5">
      <c r="B1197" s="1026"/>
      <c r="C1197" s="1031"/>
      <c r="D1197" s="1221"/>
      <c r="E1197" s="1032"/>
      <c r="F1197" s="1041"/>
      <c r="G1197" s="1042"/>
      <c r="H1197" s="1042"/>
      <c r="I1197" s="1043"/>
      <c r="J1197" s="738" t="s">
        <v>141</v>
      </c>
      <c r="K1197" s="1036" t="s">
        <v>412</v>
      </c>
      <c r="L1197" s="1045"/>
      <c r="M1197" s="739">
        <v>46000</v>
      </c>
      <c r="N1197" s="1048" t="s">
        <v>412</v>
      </c>
      <c r="O1197" s="1047"/>
      <c r="P1197" s="737" t="s">
        <v>412</v>
      </c>
      <c r="Q1197" s="737" t="s">
        <v>412</v>
      </c>
    </row>
    <row r="1198" spans="1:17" ht="25.5">
      <c r="B1198" s="1026"/>
      <c r="C1198" s="1033"/>
      <c r="D1198" s="1034"/>
      <c r="E1198" s="1035"/>
      <c r="F1198" s="1049" t="s">
        <v>412</v>
      </c>
      <c r="G1198" s="1050"/>
      <c r="H1198" s="1050"/>
      <c r="I1198" s="1045"/>
      <c r="J1198" s="740" t="s">
        <v>247</v>
      </c>
      <c r="K1198" s="1049" t="s">
        <v>412</v>
      </c>
      <c r="L1198" s="1045"/>
      <c r="M1198" s="739">
        <v>46000</v>
      </c>
      <c r="N1198" s="1048" t="s">
        <v>412</v>
      </c>
      <c r="O1198" s="1047"/>
      <c r="P1198" s="737" t="s">
        <v>412</v>
      </c>
      <c r="Q1198" s="737" t="s">
        <v>412</v>
      </c>
    </row>
    <row r="1199" spans="1:17" ht="15">
      <c r="B1199" s="1026"/>
      <c r="C1199" s="1028" t="s">
        <v>248</v>
      </c>
      <c r="D1199" s="1029"/>
      <c r="E1199" s="1030"/>
      <c r="F1199" s="1036" t="s">
        <v>281</v>
      </c>
      <c r="G1199" s="1037"/>
      <c r="H1199" s="1037"/>
      <c r="I1199" s="1038"/>
      <c r="J1199" s="735" t="s">
        <v>227</v>
      </c>
      <c r="K1199" s="1044" t="s">
        <v>228</v>
      </c>
      <c r="L1199" s="1045"/>
      <c r="M1199" s="736">
        <v>46000</v>
      </c>
      <c r="N1199" s="1046">
        <v>0</v>
      </c>
      <c r="O1199" s="1047"/>
      <c r="P1199" s="736">
        <v>0</v>
      </c>
      <c r="Q1199" s="737"/>
    </row>
    <row r="1200" spans="1:17" ht="25.5">
      <c r="B1200" s="1026"/>
      <c r="C1200" s="1031"/>
      <c r="D1200" s="1221"/>
      <c r="E1200" s="1032"/>
      <c r="F1200" s="1041"/>
      <c r="G1200" s="1042"/>
      <c r="H1200" s="1042"/>
      <c r="I1200" s="1043"/>
      <c r="J1200" s="738" t="s">
        <v>141</v>
      </c>
      <c r="K1200" s="1036" t="s">
        <v>412</v>
      </c>
      <c r="L1200" s="1045"/>
      <c r="M1200" s="739">
        <v>46000</v>
      </c>
      <c r="N1200" s="1048" t="s">
        <v>412</v>
      </c>
      <c r="O1200" s="1047"/>
      <c r="P1200" s="737" t="s">
        <v>412</v>
      </c>
      <c r="Q1200" s="737" t="s">
        <v>412</v>
      </c>
    </row>
    <row r="1201" spans="2:17" ht="25.5">
      <c r="B1201" s="1026"/>
      <c r="C1201" s="1033"/>
      <c r="D1201" s="1034"/>
      <c r="E1201" s="1035"/>
      <c r="F1201" s="1049" t="s">
        <v>412</v>
      </c>
      <c r="G1201" s="1050"/>
      <c r="H1201" s="1050"/>
      <c r="I1201" s="1045"/>
      <c r="J1201" s="740" t="s">
        <v>247</v>
      </c>
      <c r="K1201" s="1049" t="s">
        <v>412</v>
      </c>
      <c r="L1201" s="1045"/>
      <c r="M1201" s="739">
        <v>46000</v>
      </c>
      <c r="N1201" s="1048" t="s">
        <v>412</v>
      </c>
      <c r="O1201" s="1047"/>
      <c r="P1201" s="737" t="s">
        <v>412</v>
      </c>
      <c r="Q1201" s="737" t="s">
        <v>412</v>
      </c>
    </row>
    <row r="1202" spans="2:17" ht="25.5">
      <c r="B1202" s="1027"/>
      <c r="C1202" s="1028" t="s">
        <v>412</v>
      </c>
      <c r="D1202" s="1051"/>
      <c r="E1202" s="1052"/>
      <c r="F1202" s="1049" t="s">
        <v>412</v>
      </c>
      <c r="G1202" s="1050"/>
      <c r="H1202" s="1050"/>
      <c r="I1202" s="1045"/>
      <c r="J1202" s="740" t="s">
        <v>301</v>
      </c>
      <c r="K1202" s="1049" t="s">
        <v>412</v>
      </c>
      <c r="L1202" s="1045"/>
      <c r="M1202" s="739">
        <v>92000</v>
      </c>
      <c r="N1202" s="1048" t="s">
        <v>412</v>
      </c>
      <c r="O1202" s="1047"/>
      <c r="P1202" s="737" t="s">
        <v>412</v>
      </c>
      <c r="Q1202" s="737" t="s">
        <v>412</v>
      </c>
    </row>
  </sheetData>
  <customSheetViews>
    <customSheetView guid="{141D05B7-EC03-4D54-B355-18B30B95005C}" showPageBreaks="1" showGridLines="0">
      <selection activeCell="A9" sqref="A9:H9"/>
      <pageMargins left="0" right="0" top="0" bottom="0" header="0" footer="0"/>
      <pageSetup scale="85" orientation="portrait" r:id="rId1"/>
      <headerFooter alignWithMargins="0">
        <oddFooter>&amp;C&amp;"Times New Roman,Regular"Page &amp;P</oddFooter>
      </headerFooter>
    </customSheetView>
    <customSheetView guid="{9D049D41-B99B-4004-9128-98F3E5E97A8B}" showPageBreaks="1" showGridLines="0">
      <selection activeCell="A9" sqref="A9:H9"/>
      <pageMargins left="0" right="0" top="0" bottom="0" header="0" footer="0"/>
      <pageSetup scale="85" orientation="portrait" r:id="rId2"/>
      <headerFooter alignWithMargins="0">
        <oddFooter>&amp;C&amp;"Times New Roman,Regular"Page &amp;P</oddFooter>
      </headerFooter>
    </customSheetView>
  </customSheetViews>
  <mergeCells count="2682">
    <mergeCell ref="C14:E14"/>
    <mergeCell ref="F14:I14"/>
    <mergeCell ref="K14:L14"/>
    <mergeCell ref="N14:O14"/>
    <mergeCell ref="B1196:B1202"/>
    <mergeCell ref="C1196:E1198"/>
    <mergeCell ref="F1196:I1197"/>
    <mergeCell ref="K1196:L1196"/>
    <mergeCell ref="N1196:O1196"/>
    <mergeCell ref="K1197:L1197"/>
    <mergeCell ref="N1197:O1197"/>
    <mergeCell ref="F1198:I1198"/>
    <mergeCell ref="K1198:L1198"/>
    <mergeCell ref="N1198:O1198"/>
    <mergeCell ref="C1199:E1201"/>
    <mergeCell ref="F1199:I1200"/>
    <mergeCell ref="K1199:L1199"/>
    <mergeCell ref="N1199:O1199"/>
    <mergeCell ref="K1200:L1200"/>
    <mergeCell ref="N1200:O1200"/>
    <mergeCell ref="F1201:I1201"/>
    <mergeCell ref="K1201:L1201"/>
    <mergeCell ref="N1201:O1201"/>
    <mergeCell ref="C1202:E1202"/>
    <mergeCell ref="F1202:I1202"/>
    <mergeCell ref="K1202:L1202"/>
    <mergeCell ref="N1202:O1202"/>
    <mergeCell ref="K1175:L1175"/>
    <mergeCell ref="N1175:O1175"/>
    <mergeCell ref="K1176:L1176"/>
    <mergeCell ref="N1176:O1176"/>
    <mergeCell ref="F1177:I1177"/>
    <mergeCell ref="K1177:L1177"/>
    <mergeCell ref="N1177:O1177"/>
    <mergeCell ref="C1178:E1178"/>
    <mergeCell ref="F1178:I1178"/>
    <mergeCell ref="K1178:L1178"/>
    <mergeCell ref="N1178:O1178"/>
    <mergeCell ref="C1182:E1182"/>
    <mergeCell ref="F1182:I1182"/>
    <mergeCell ref="K1182:L1182"/>
    <mergeCell ref="N1182:O1182"/>
    <mergeCell ref="N1188:O1188"/>
    <mergeCell ref="K1189:L1189"/>
    <mergeCell ref="N1189:O1189"/>
    <mergeCell ref="F1190:I1190"/>
    <mergeCell ref="K1190:L1190"/>
    <mergeCell ref="N1190:O1190"/>
    <mergeCell ref="C1191:E1191"/>
    <mergeCell ref="F1191:I1191"/>
    <mergeCell ref="K1191:L1191"/>
    <mergeCell ref="N1191:O1191"/>
    <mergeCell ref="C1195:E1195"/>
    <mergeCell ref="F1195:I1195"/>
    <mergeCell ref="B1183:B1191"/>
    <mergeCell ref="C1183:E1186"/>
    <mergeCell ref="F1183:I1185"/>
    <mergeCell ref="K1183:L1183"/>
    <mergeCell ref="N1183:O1183"/>
    <mergeCell ref="K1184:L1184"/>
    <mergeCell ref="N1184:O1184"/>
    <mergeCell ref="K1185:L1185"/>
    <mergeCell ref="N1185:O1185"/>
    <mergeCell ref="F1186:I1186"/>
    <mergeCell ref="K1186:L1186"/>
    <mergeCell ref="N1186:O1186"/>
    <mergeCell ref="C1187:E1190"/>
    <mergeCell ref="F1187:I1189"/>
    <mergeCell ref="K1187:L1187"/>
    <mergeCell ref="N1187:O1187"/>
    <mergeCell ref="K1188:L1188"/>
    <mergeCell ref="K1195:L1195"/>
    <mergeCell ref="N1195:O1195"/>
    <mergeCell ref="C1163:E1163"/>
    <mergeCell ref="F1163:I1163"/>
    <mergeCell ref="K1163:L1163"/>
    <mergeCell ref="N1163:O1163"/>
    <mergeCell ref="B1164:B1178"/>
    <mergeCell ref="C1164:E1170"/>
    <mergeCell ref="F1164:I1169"/>
    <mergeCell ref="K1164:L1164"/>
    <mergeCell ref="N1164:O1164"/>
    <mergeCell ref="K1165:L1165"/>
    <mergeCell ref="N1165:O1165"/>
    <mergeCell ref="K1166:L1166"/>
    <mergeCell ref="N1166:O1166"/>
    <mergeCell ref="K1167:L1167"/>
    <mergeCell ref="N1167:O1167"/>
    <mergeCell ref="K1168:L1168"/>
    <mergeCell ref="N1168:O1168"/>
    <mergeCell ref="K1169:L1169"/>
    <mergeCell ref="N1169:O1169"/>
    <mergeCell ref="F1170:I1170"/>
    <mergeCell ref="K1170:L1170"/>
    <mergeCell ref="N1170:O1170"/>
    <mergeCell ref="C1171:E1177"/>
    <mergeCell ref="F1171:I1176"/>
    <mergeCell ref="K1171:L1171"/>
    <mergeCell ref="N1171:O1171"/>
    <mergeCell ref="K1172:L1172"/>
    <mergeCell ref="N1172:O1172"/>
    <mergeCell ref="K1173:L1173"/>
    <mergeCell ref="N1173:O1173"/>
    <mergeCell ref="K1174:L1174"/>
    <mergeCell ref="N1174:O1174"/>
    <mergeCell ref="C1159:E1159"/>
    <mergeCell ref="F1159:I1159"/>
    <mergeCell ref="K1159:L1159"/>
    <mergeCell ref="N1159:O1159"/>
    <mergeCell ref="N1150:O1150"/>
    <mergeCell ref="F1151:I1157"/>
    <mergeCell ref="K1151:L1151"/>
    <mergeCell ref="N1151:O1151"/>
    <mergeCell ref="K1152:L1152"/>
    <mergeCell ref="N1152:O1152"/>
    <mergeCell ref="K1153:L1153"/>
    <mergeCell ref="N1153:O1153"/>
    <mergeCell ref="K1154:L1154"/>
    <mergeCell ref="N1154:O1154"/>
    <mergeCell ref="K1155:L1155"/>
    <mergeCell ref="N1155:O1155"/>
    <mergeCell ref="K1156:L1156"/>
    <mergeCell ref="N1156:O1156"/>
    <mergeCell ref="K1157:L1157"/>
    <mergeCell ref="N1157:O1157"/>
    <mergeCell ref="F1158:I1158"/>
    <mergeCell ref="K1158:L1158"/>
    <mergeCell ref="N1158:O1158"/>
    <mergeCell ref="B1138:B1159"/>
    <mergeCell ref="C1138:E1148"/>
    <mergeCell ref="F1138:I1139"/>
    <mergeCell ref="K1138:L1138"/>
    <mergeCell ref="N1138:O1138"/>
    <mergeCell ref="K1139:L1139"/>
    <mergeCell ref="N1139:O1139"/>
    <mergeCell ref="F1140:I1147"/>
    <mergeCell ref="K1140:L1140"/>
    <mergeCell ref="N1140:O1140"/>
    <mergeCell ref="K1141:L1141"/>
    <mergeCell ref="N1141:O1141"/>
    <mergeCell ref="K1142:L1142"/>
    <mergeCell ref="N1142:O1142"/>
    <mergeCell ref="K1143:L1143"/>
    <mergeCell ref="N1143:O1143"/>
    <mergeCell ref="K1144:L1144"/>
    <mergeCell ref="N1144:O1144"/>
    <mergeCell ref="K1145:L1145"/>
    <mergeCell ref="N1145:O1145"/>
    <mergeCell ref="K1146:L1146"/>
    <mergeCell ref="N1146:O1146"/>
    <mergeCell ref="K1147:L1147"/>
    <mergeCell ref="N1147:O1147"/>
    <mergeCell ref="F1148:I1148"/>
    <mergeCell ref="K1148:L1148"/>
    <mergeCell ref="N1148:O1148"/>
    <mergeCell ref="C1149:E1158"/>
    <mergeCell ref="F1149:I1150"/>
    <mergeCell ref="K1149:L1149"/>
    <mergeCell ref="N1149:O1149"/>
    <mergeCell ref="K1150:L1150"/>
    <mergeCell ref="N1128:O1128"/>
    <mergeCell ref="K1129:L1129"/>
    <mergeCell ref="N1129:O1129"/>
    <mergeCell ref="K1130:L1130"/>
    <mergeCell ref="N1130:O1130"/>
    <mergeCell ref="K1131:L1131"/>
    <mergeCell ref="N1131:O1131"/>
    <mergeCell ref="F1132:I1132"/>
    <mergeCell ref="K1132:L1132"/>
    <mergeCell ref="N1132:O1132"/>
    <mergeCell ref="C1133:E1133"/>
    <mergeCell ref="F1133:I1133"/>
    <mergeCell ref="K1133:L1133"/>
    <mergeCell ref="N1133:O1133"/>
    <mergeCell ref="C1137:E1137"/>
    <mergeCell ref="F1137:I1137"/>
    <mergeCell ref="K1137:L1137"/>
    <mergeCell ref="N1137:O1137"/>
    <mergeCell ref="K1113:L1113"/>
    <mergeCell ref="N1113:O1113"/>
    <mergeCell ref="K1114:L1114"/>
    <mergeCell ref="N1114:O1114"/>
    <mergeCell ref="F1115:I1131"/>
    <mergeCell ref="K1115:L1115"/>
    <mergeCell ref="N1115:O1115"/>
    <mergeCell ref="K1116:L1116"/>
    <mergeCell ref="N1116:O1116"/>
    <mergeCell ref="K1117:L1117"/>
    <mergeCell ref="N1117:O1117"/>
    <mergeCell ref="K1118:L1118"/>
    <mergeCell ref="N1118:O1118"/>
    <mergeCell ref="K1119:L1119"/>
    <mergeCell ref="N1119:O1119"/>
    <mergeCell ref="K1120:L1120"/>
    <mergeCell ref="N1120:O1120"/>
    <mergeCell ref="K1121:L1121"/>
    <mergeCell ref="N1121:O1121"/>
    <mergeCell ref="K1122:L1122"/>
    <mergeCell ref="N1122:O1122"/>
    <mergeCell ref="K1123:L1123"/>
    <mergeCell ref="N1123:O1123"/>
    <mergeCell ref="K1124:L1124"/>
    <mergeCell ref="N1124:O1124"/>
    <mergeCell ref="K1125:L1125"/>
    <mergeCell ref="N1125:O1125"/>
    <mergeCell ref="K1126:L1126"/>
    <mergeCell ref="N1126:O1126"/>
    <mergeCell ref="K1127:L1127"/>
    <mergeCell ref="N1127:O1127"/>
    <mergeCell ref="K1128:L1128"/>
    <mergeCell ref="K1100:L1100"/>
    <mergeCell ref="N1100:O1100"/>
    <mergeCell ref="K1101:L1101"/>
    <mergeCell ref="N1101:O1101"/>
    <mergeCell ref="K1102:L1102"/>
    <mergeCell ref="N1102:O1102"/>
    <mergeCell ref="K1103:L1103"/>
    <mergeCell ref="N1103:O1103"/>
    <mergeCell ref="K1104:L1104"/>
    <mergeCell ref="N1104:O1104"/>
    <mergeCell ref="F1105:I1105"/>
    <mergeCell ref="K1105:L1105"/>
    <mergeCell ref="N1105:O1105"/>
    <mergeCell ref="C1106:E1132"/>
    <mergeCell ref="F1106:I1107"/>
    <mergeCell ref="K1106:L1106"/>
    <mergeCell ref="N1106:O1106"/>
    <mergeCell ref="K1107:L1107"/>
    <mergeCell ref="N1107:O1107"/>
    <mergeCell ref="F1108:I1110"/>
    <mergeCell ref="K1108:L1108"/>
    <mergeCell ref="N1108:O1108"/>
    <mergeCell ref="K1109:L1109"/>
    <mergeCell ref="N1109:O1109"/>
    <mergeCell ref="K1110:L1110"/>
    <mergeCell ref="N1110:O1110"/>
    <mergeCell ref="F1111:I1112"/>
    <mergeCell ref="K1111:L1111"/>
    <mergeCell ref="N1111:O1111"/>
    <mergeCell ref="K1112:L1112"/>
    <mergeCell ref="N1112:O1112"/>
    <mergeCell ref="F1113:I1114"/>
    <mergeCell ref="N1091:O1091"/>
    <mergeCell ref="K1092:L1092"/>
    <mergeCell ref="N1092:O1092"/>
    <mergeCell ref="K1093:L1093"/>
    <mergeCell ref="N1093:O1093"/>
    <mergeCell ref="K1094:L1094"/>
    <mergeCell ref="N1094:O1094"/>
    <mergeCell ref="K1095:L1095"/>
    <mergeCell ref="N1095:O1095"/>
    <mergeCell ref="K1096:L1096"/>
    <mergeCell ref="N1096:O1096"/>
    <mergeCell ref="K1097:L1097"/>
    <mergeCell ref="N1097:O1097"/>
    <mergeCell ref="K1098:L1098"/>
    <mergeCell ref="N1098:O1098"/>
    <mergeCell ref="K1099:L1099"/>
    <mergeCell ref="N1099:O1099"/>
    <mergeCell ref="C1077:E1077"/>
    <mergeCell ref="F1077:I1077"/>
    <mergeCell ref="K1077:L1077"/>
    <mergeCell ref="N1077:O1077"/>
    <mergeCell ref="C1081:E1081"/>
    <mergeCell ref="F1081:I1081"/>
    <mergeCell ref="K1081:L1081"/>
    <mergeCell ref="N1081:O1081"/>
    <mergeCell ref="B1082:B1133"/>
    <mergeCell ref="C1082:E1105"/>
    <mergeCell ref="F1082:I1083"/>
    <mergeCell ref="K1082:L1082"/>
    <mergeCell ref="N1082:O1082"/>
    <mergeCell ref="K1083:L1083"/>
    <mergeCell ref="N1083:O1083"/>
    <mergeCell ref="F1084:I1085"/>
    <mergeCell ref="K1084:L1084"/>
    <mergeCell ref="N1084:O1084"/>
    <mergeCell ref="K1085:L1085"/>
    <mergeCell ref="N1085:O1085"/>
    <mergeCell ref="F1086:I1104"/>
    <mergeCell ref="K1086:L1086"/>
    <mergeCell ref="N1086:O1086"/>
    <mergeCell ref="K1087:L1087"/>
    <mergeCell ref="N1087:O1087"/>
    <mergeCell ref="K1088:L1088"/>
    <mergeCell ref="N1088:O1088"/>
    <mergeCell ref="K1089:L1089"/>
    <mergeCell ref="N1089:O1089"/>
    <mergeCell ref="K1090:L1090"/>
    <mergeCell ref="N1090:O1090"/>
    <mergeCell ref="K1091:L1091"/>
    <mergeCell ref="K1068:L1068"/>
    <mergeCell ref="N1068:O1068"/>
    <mergeCell ref="K1069:L1069"/>
    <mergeCell ref="N1069:O1069"/>
    <mergeCell ref="K1070:L1070"/>
    <mergeCell ref="N1070:O1070"/>
    <mergeCell ref="K1071:L1071"/>
    <mergeCell ref="N1071:O1071"/>
    <mergeCell ref="K1072:L1072"/>
    <mergeCell ref="N1072:O1072"/>
    <mergeCell ref="K1073:L1073"/>
    <mergeCell ref="N1073:O1073"/>
    <mergeCell ref="K1074:L1074"/>
    <mergeCell ref="N1074:O1074"/>
    <mergeCell ref="K1075:L1075"/>
    <mergeCell ref="N1075:O1075"/>
    <mergeCell ref="F1076:I1076"/>
    <mergeCell ref="K1076:L1076"/>
    <mergeCell ref="N1076:O1076"/>
    <mergeCell ref="C1054:E1054"/>
    <mergeCell ref="F1054:I1054"/>
    <mergeCell ref="K1054:L1054"/>
    <mergeCell ref="N1054:O1054"/>
    <mergeCell ref="C1058:E1058"/>
    <mergeCell ref="F1058:I1058"/>
    <mergeCell ref="K1058:L1058"/>
    <mergeCell ref="N1058:O1058"/>
    <mergeCell ref="B1059:B1077"/>
    <mergeCell ref="C1059:E1067"/>
    <mergeCell ref="F1059:I1066"/>
    <mergeCell ref="K1059:L1059"/>
    <mergeCell ref="N1059:O1059"/>
    <mergeCell ref="K1060:L1060"/>
    <mergeCell ref="N1060:O1060"/>
    <mergeCell ref="K1061:L1061"/>
    <mergeCell ref="N1061:O1061"/>
    <mergeCell ref="K1062:L1062"/>
    <mergeCell ref="N1062:O1062"/>
    <mergeCell ref="K1063:L1063"/>
    <mergeCell ref="N1063:O1063"/>
    <mergeCell ref="K1064:L1064"/>
    <mergeCell ref="N1064:O1064"/>
    <mergeCell ref="K1065:L1065"/>
    <mergeCell ref="N1065:O1065"/>
    <mergeCell ref="K1066:L1066"/>
    <mergeCell ref="N1066:O1066"/>
    <mergeCell ref="F1067:I1067"/>
    <mergeCell ref="K1067:L1067"/>
    <mergeCell ref="N1067:O1067"/>
    <mergeCell ref="C1068:E1076"/>
    <mergeCell ref="F1068:I1075"/>
    <mergeCell ref="K1042:L1042"/>
    <mergeCell ref="N1042:O1042"/>
    <mergeCell ref="C1043:E1053"/>
    <mergeCell ref="F1043:I1052"/>
    <mergeCell ref="K1043:L1043"/>
    <mergeCell ref="N1043:O1043"/>
    <mergeCell ref="K1044:L1044"/>
    <mergeCell ref="N1044:O1044"/>
    <mergeCell ref="K1045:L1045"/>
    <mergeCell ref="N1045:O1045"/>
    <mergeCell ref="K1046:L1046"/>
    <mergeCell ref="N1046:O1046"/>
    <mergeCell ref="K1047:L1047"/>
    <mergeCell ref="N1047:O1047"/>
    <mergeCell ref="K1048:L1048"/>
    <mergeCell ref="N1048:O1048"/>
    <mergeCell ref="K1049:L1049"/>
    <mergeCell ref="N1049:O1049"/>
    <mergeCell ref="K1050:L1050"/>
    <mergeCell ref="N1050:O1050"/>
    <mergeCell ref="K1051:L1051"/>
    <mergeCell ref="N1051:O1051"/>
    <mergeCell ref="K1052:L1052"/>
    <mergeCell ref="N1052:O1052"/>
    <mergeCell ref="F1053:I1053"/>
    <mergeCell ref="K1053:L1053"/>
    <mergeCell ref="N1053:O1053"/>
    <mergeCell ref="N1026:S1028"/>
    <mergeCell ref="I1028:J1028"/>
    <mergeCell ref="C1030:E1030"/>
    <mergeCell ref="F1030:I1030"/>
    <mergeCell ref="K1030:L1030"/>
    <mergeCell ref="N1030:O1030"/>
    <mergeCell ref="B1031:B1054"/>
    <mergeCell ref="C1031:E1042"/>
    <mergeCell ref="F1031:I1041"/>
    <mergeCell ref="K1031:L1031"/>
    <mergeCell ref="N1031:O1031"/>
    <mergeCell ref="K1032:L1032"/>
    <mergeCell ref="N1032:O1032"/>
    <mergeCell ref="K1033:L1033"/>
    <mergeCell ref="N1033:O1033"/>
    <mergeCell ref="K1034:L1034"/>
    <mergeCell ref="N1034:O1034"/>
    <mergeCell ref="K1035:L1035"/>
    <mergeCell ref="N1035:O1035"/>
    <mergeCell ref="K1036:L1036"/>
    <mergeCell ref="N1036:O1036"/>
    <mergeCell ref="K1037:L1037"/>
    <mergeCell ref="N1037:O1037"/>
    <mergeCell ref="K1038:L1038"/>
    <mergeCell ref="N1038:O1038"/>
    <mergeCell ref="K1039:L1039"/>
    <mergeCell ref="N1039:O1039"/>
    <mergeCell ref="K1040:L1040"/>
    <mergeCell ref="N1040:O1040"/>
    <mergeCell ref="K1041:L1041"/>
    <mergeCell ref="N1041:O1041"/>
    <mergeCell ref="F1042:I1042"/>
    <mergeCell ref="A8:F8"/>
    <mergeCell ref="A4:G4"/>
    <mergeCell ref="A6:G6"/>
    <mergeCell ref="A5:G5"/>
    <mergeCell ref="A7:F7"/>
    <mergeCell ref="N20:O20"/>
    <mergeCell ref="K21:L21"/>
    <mergeCell ref="N21:O21"/>
    <mergeCell ref="K22:L22"/>
    <mergeCell ref="N22:O22"/>
    <mergeCell ref="B15:B437"/>
    <mergeCell ref="C15:E209"/>
    <mergeCell ref="F15:I16"/>
    <mergeCell ref="K15:L15"/>
    <mergeCell ref="N15:O15"/>
    <mergeCell ref="K16:L16"/>
    <mergeCell ref="N16:O16"/>
    <mergeCell ref="F17:I18"/>
    <mergeCell ref="K17:L17"/>
    <mergeCell ref="N17:O17"/>
    <mergeCell ref="K18:L18"/>
    <mergeCell ref="N18:O18"/>
    <mergeCell ref="F19:I23"/>
    <mergeCell ref="K19:L19"/>
    <mergeCell ref="N19:O19"/>
    <mergeCell ref="K20:L20"/>
    <mergeCell ref="F29:I30"/>
    <mergeCell ref="K29:L29"/>
    <mergeCell ref="N29:O29"/>
    <mergeCell ref="K30:L30"/>
    <mergeCell ref="N30:O30"/>
    <mergeCell ref="F27:I28"/>
    <mergeCell ref="K27:L27"/>
    <mergeCell ref="N27:O27"/>
    <mergeCell ref="K28:L28"/>
    <mergeCell ref="N28:O28"/>
    <mergeCell ref="K23:L23"/>
    <mergeCell ref="N23:O23"/>
    <mergeCell ref="F24:I26"/>
    <mergeCell ref="K24:L24"/>
    <mergeCell ref="N24:O24"/>
    <mergeCell ref="K25:L25"/>
    <mergeCell ref="N25:O25"/>
    <mergeCell ref="K26:L26"/>
    <mergeCell ref="N26:O26"/>
    <mergeCell ref="F36:I40"/>
    <mergeCell ref="K36:L36"/>
    <mergeCell ref="N36:O36"/>
    <mergeCell ref="K37:L37"/>
    <mergeCell ref="N37:O37"/>
    <mergeCell ref="K38:L38"/>
    <mergeCell ref="N38:O38"/>
    <mergeCell ref="K39:L39"/>
    <mergeCell ref="N39:O39"/>
    <mergeCell ref="K40:L40"/>
    <mergeCell ref="N40:O40"/>
    <mergeCell ref="F31:I35"/>
    <mergeCell ref="K31:L31"/>
    <mergeCell ref="N31:O31"/>
    <mergeCell ref="K32:L32"/>
    <mergeCell ref="N32:O32"/>
    <mergeCell ref="K33:L33"/>
    <mergeCell ref="N33:O33"/>
    <mergeCell ref="K34:L34"/>
    <mergeCell ref="N34:O34"/>
    <mergeCell ref="K35:L35"/>
    <mergeCell ref="N35:O35"/>
    <mergeCell ref="F53:I54"/>
    <mergeCell ref="K53:L53"/>
    <mergeCell ref="N53:O53"/>
    <mergeCell ref="K54:L54"/>
    <mergeCell ref="N54:O54"/>
    <mergeCell ref="N48:O48"/>
    <mergeCell ref="K49:L49"/>
    <mergeCell ref="N49:O49"/>
    <mergeCell ref="F50:I52"/>
    <mergeCell ref="K50:L50"/>
    <mergeCell ref="N50:O50"/>
    <mergeCell ref="K51:L51"/>
    <mergeCell ref="N51:O51"/>
    <mergeCell ref="K52:L52"/>
    <mergeCell ref="N52:O52"/>
    <mergeCell ref="F41:I49"/>
    <mergeCell ref="K41:L41"/>
    <mergeCell ref="N41:O41"/>
    <mergeCell ref="K42:L42"/>
    <mergeCell ref="N42:O42"/>
    <mergeCell ref="K43:L43"/>
    <mergeCell ref="N43:O43"/>
    <mergeCell ref="K44:L44"/>
    <mergeCell ref="N44:O44"/>
    <mergeCell ref="K45:L45"/>
    <mergeCell ref="N45:O45"/>
    <mergeCell ref="K46:L46"/>
    <mergeCell ref="N46:O46"/>
    <mergeCell ref="K47:L47"/>
    <mergeCell ref="N47:O47"/>
    <mergeCell ref="K48:L48"/>
    <mergeCell ref="F61:I65"/>
    <mergeCell ref="K61:L61"/>
    <mergeCell ref="N61:O61"/>
    <mergeCell ref="K62:L62"/>
    <mergeCell ref="N62:O62"/>
    <mergeCell ref="K63:L63"/>
    <mergeCell ref="N63:O63"/>
    <mergeCell ref="K64:L64"/>
    <mergeCell ref="N64:O64"/>
    <mergeCell ref="K65:L65"/>
    <mergeCell ref="N65:O65"/>
    <mergeCell ref="F55:I60"/>
    <mergeCell ref="K55:L55"/>
    <mergeCell ref="N55:O55"/>
    <mergeCell ref="K56:L56"/>
    <mergeCell ref="N56:O56"/>
    <mergeCell ref="K57:L57"/>
    <mergeCell ref="N57:O57"/>
    <mergeCell ref="K58:L58"/>
    <mergeCell ref="N58:O58"/>
    <mergeCell ref="K59:L59"/>
    <mergeCell ref="N59:O59"/>
    <mergeCell ref="K60:L60"/>
    <mergeCell ref="N60:O60"/>
    <mergeCell ref="F73:I74"/>
    <mergeCell ref="K73:L73"/>
    <mergeCell ref="N73:O73"/>
    <mergeCell ref="K74:L74"/>
    <mergeCell ref="N74:O74"/>
    <mergeCell ref="F68:I72"/>
    <mergeCell ref="K68:L68"/>
    <mergeCell ref="N68:O68"/>
    <mergeCell ref="K69:L69"/>
    <mergeCell ref="N69:O69"/>
    <mergeCell ref="K70:L70"/>
    <mergeCell ref="N70:O70"/>
    <mergeCell ref="K71:L71"/>
    <mergeCell ref="N71:O71"/>
    <mergeCell ref="K72:L72"/>
    <mergeCell ref="N72:O72"/>
    <mergeCell ref="F66:I67"/>
    <mergeCell ref="K66:L66"/>
    <mergeCell ref="N66:O66"/>
    <mergeCell ref="K67:L67"/>
    <mergeCell ref="N67:O67"/>
    <mergeCell ref="F81:I85"/>
    <mergeCell ref="K81:L81"/>
    <mergeCell ref="N81:O81"/>
    <mergeCell ref="K82:L82"/>
    <mergeCell ref="N82:O82"/>
    <mergeCell ref="K83:L83"/>
    <mergeCell ref="N83:O83"/>
    <mergeCell ref="K84:L84"/>
    <mergeCell ref="N84:O84"/>
    <mergeCell ref="K85:L85"/>
    <mergeCell ref="N85:O85"/>
    <mergeCell ref="F75:I80"/>
    <mergeCell ref="K75:L75"/>
    <mergeCell ref="N75:O75"/>
    <mergeCell ref="K76:L76"/>
    <mergeCell ref="N76:O76"/>
    <mergeCell ref="K77:L77"/>
    <mergeCell ref="N77:O77"/>
    <mergeCell ref="K78:L78"/>
    <mergeCell ref="N78:O78"/>
    <mergeCell ref="K79:L79"/>
    <mergeCell ref="N79:O79"/>
    <mergeCell ref="K80:L80"/>
    <mergeCell ref="N80:O80"/>
    <mergeCell ref="F91:I93"/>
    <mergeCell ref="K91:L91"/>
    <mergeCell ref="N91:O91"/>
    <mergeCell ref="K92:L92"/>
    <mergeCell ref="N92:O92"/>
    <mergeCell ref="K93:L93"/>
    <mergeCell ref="N93:O93"/>
    <mergeCell ref="F86:I90"/>
    <mergeCell ref="K86:L86"/>
    <mergeCell ref="N86:O86"/>
    <mergeCell ref="K87:L87"/>
    <mergeCell ref="N87:O87"/>
    <mergeCell ref="K88:L88"/>
    <mergeCell ref="N88:O88"/>
    <mergeCell ref="K89:L89"/>
    <mergeCell ref="N89:O89"/>
    <mergeCell ref="K90:L90"/>
    <mergeCell ref="N90:O90"/>
    <mergeCell ref="F97:I102"/>
    <mergeCell ref="K97:L97"/>
    <mergeCell ref="N97:O97"/>
    <mergeCell ref="K98:L98"/>
    <mergeCell ref="N98:O98"/>
    <mergeCell ref="K99:L99"/>
    <mergeCell ref="N99:O99"/>
    <mergeCell ref="K100:L100"/>
    <mergeCell ref="N100:O100"/>
    <mergeCell ref="K101:L101"/>
    <mergeCell ref="N101:O101"/>
    <mergeCell ref="K102:L102"/>
    <mergeCell ref="N102:O102"/>
    <mergeCell ref="F94:I96"/>
    <mergeCell ref="K94:L94"/>
    <mergeCell ref="N94:O94"/>
    <mergeCell ref="K95:L95"/>
    <mergeCell ref="N95:O95"/>
    <mergeCell ref="K96:L96"/>
    <mergeCell ref="N96:O96"/>
    <mergeCell ref="F108:I112"/>
    <mergeCell ref="K108:L108"/>
    <mergeCell ref="N108:O108"/>
    <mergeCell ref="K109:L109"/>
    <mergeCell ref="N109:O109"/>
    <mergeCell ref="K110:L110"/>
    <mergeCell ref="N110:O110"/>
    <mergeCell ref="K111:L111"/>
    <mergeCell ref="N111:O111"/>
    <mergeCell ref="K112:L112"/>
    <mergeCell ref="N112:O112"/>
    <mergeCell ref="F103:I107"/>
    <mergeCell ref="K103:L103"/>
    <mergeCell ref="N103:O103"/>
    <mergeCell ref="K104:L104"/>
    <mergeCell ref="N104:O104"/>
    <mergeCell ref="K105:L105"/>
    <mergeCell ref="N105:O105"/>
    <mergeCell ref="K106:L106"/>
    <mergeCell ref="N106:O106"/>
    <mergeCell ref="K107:L107"/>
    <mergeCell ref="N107:O107"/>
    <mergeCell ref="N121:O121"/>
    <mergeCell ref="K122:L122"/>
    <mergeCell ref="N122:O122"/>
    <mergeCell ref="K123:L123"/>
    <mergeCell ref="N123:O123"/>
    <mergeCell ref="K124:L124"/>
    <mergeCell ref="N124:O124"/>
    <mergeCell ref="K125:L125"/>
    <mergeCell ref="N125:O125"/>
    <mergeCell ref="K126:L126"/>
    <mergeCell ref="F113:I118"/>
    <mergeCell ref="K113:L113"/>
    <mergeCell ref="N113:O113"/>
    <mergeCell ref="K114:L114"/>
    <mergeCell ref="N114:O114"/>
    <mergeCell ref="K115:L115"/>
    <mergeCell ref="N115:O115"/>
    <mergeCell ref="K116:L116"/>
    <mergeCell ref="N116:O116"/>
    <mergeCell ref="K117:L117"/>
    <mergeCell ref="N117:O117"/>
    <mergeCell ref="K118:L118"/>
    <mergeCell ref="N118:O118"/>
    <mergeCell ref="F135:I137"/>
    <mergeCell ref="K135:L135"/>
    <mergeCell ref="N135:O135"/>
    <mergeCell ref="K136:L136"/>
    <mergeCell ref="N136:O136"/>
    <mergeCell ref="K137:L137"/>
    <mergeCell ref="N137:O137"/>
    <mergeCell ref="F132:I134"/>
    <mergeCell ref="K132:L132"/>
    <mergeCell ref="N132:O132"/>
    <mergeCell ref="K133:L133"/>
    <mergeCell ref="N133:O133"/>
    <mergeCell ref="K134:L134"/>
    <mergeCell ref="N134:O134"/>
    <mergeCell ref="N126:O126"/>
    <mergeCell ref="F127:I131"/>
    <mergeCell ref="K127:L127"/>
    <mergeCell ref="N127:O127"/>
    <mergeCell ref="K128:L128"/>
    <mergeCell ref="N128:O128"/>
    <mergeCell ref="K129:L129"/>
    <mergeCell ref="N129:O129"/>
    <mergeCell ref="K130:L130"/>
    <mergeCell ref="N130:O130"/>
    <mergeCell ref="K131:L131"/>
    <mergeCell ref="N131:O131"/>
    <mergeCell ref="F119:I126"/>
    <mergeCell ref="K119:L119"/>
    <mergeCell ref="N119:O119"/>
    <mergeCell ref="K120:L120"/>
    <mergeCell ref="N120:O120"/>
    <mergeCell ref="K121:L121"/>
    <mergeCell ref="N141:O141"/>
    <mergeCell ref="K142:L142"/>
    <mergeCell ref="N142:O142"/>
    <mergeCell ref="K143:L143"/>
    <mergeCell ref="N143:O143"/>
    <mergeCell ref="K144:L144"/>
    <mergeCell ref="N144:O144"/>
    <mergeCell ref="K145:L145"/>
    <mergeCell ref="N145:O145"/>
    <mergeCell ref="K146:L146"/>
    <mergeCell ref="N146:O146"/>
    <mergeCell ref="K147:L147"/>
    <mergeCell ref="N147:O147"/>
    <mergeCell ref="K148:L148"/>
    <mergeCell ref="F138:I140"/>
    <mergeCell ref="K138:L138"/>
    <mergeCell ref="N138:O138"/>
    <mergeCell ref="K139:L139"/>
    <mergeCell ref="N139:O139"/>
    <mergeCell ref="K140:L140"/>
    <mergeCell ref="N140:O140"/>
    <mergeCell ref="F159:I161"/>
    <mergeCell ref="K159:L159"/>
    <mergeCell ref="N159:O159"/>
    <mergeCell ref="K160:L160"/>
    <mergeCell ref="N160:O160"/>
    <mergeCell ref="K161:L161"/>
    <mergeCell ref="N161:O161"/>
    <mergeCell ref="F155:I158"/>
    <mergeCell ref="K155:L155"/>
    <mergeCell ref="N155:O155"/>
    <mergeCell ref="K156:L156"/>
    <mergeCell ref="N156:O156"/>
    <mergeCell ref="K157:L157"/>
    <mergeCell ref="N157:O157"/>
    <mergeCell ref="K158:L158"/>
    <mergeCell ref="N158:O158"/>
    <mergeCell ref="N148:O148"/>
    <mergeCell ref="F149:I154"/>
    <mergeCell ref="K149:L149"/>
    <mergeCell ref="N149:O149"/>
    <mergeCell ref="K150:L150"/>
    <mergeCell ref="N150:O150"/>
    <mergeCell ref="K151:L151"/>
    <mergeCell ref="N151:O151"/>
    <mergeCell ref="K152:L152"/>
    <mergeCell ref="N152:O152"/>
    <mergeCell ref="K153:L153"/>
    <mergeCell ref="N153:O153"/>
    <mergeCell ref="K154:L154"/>
    <mergeCell ref="N154:O154"/>
    <mergeCell ref="F141:I148"/>
    <mergeCell ref="K141:L141"/>
    <mergeCell ref="F167:I171"/>
    <mergeCell ref="K167:L167"/>
    <mergeCell ref="N167:O167"/>
    <mergeCell ref="K168:L168"/>
    <mergeCell ref="N168:O168"/>
    <mergeCell ref="K169:L169"/>
    <mergeCell ref="N169:O169"/>
    <mergeCell ref="K170:L170"/>
    <mergeCell ref="N170:O170"/>
    <mergeCell ref="K171:L171"/>
    <mergeCell ref="N171:O171"/>
    <mergeCell ref="F162:I166"/>
    <mergeCell ref="K162:L162"/>
    <mergeCell ref="N162:O162"/>
    <mergeCell ref="K163:L163"/>
    <mergeCell ref="N163:O163"/>
    <mergeCell ref="K164:L164"/>
    <mergeCell ref="N164:O164"/>
    <mergeCell ref="K165:L165"/>
    <mergeCell ref="N165:O165"/>
    <mergeCell ref="K166:L166"/>
    <mergeCell ref="N166:O166"/>
    <mergeCell ref="F177:I182"/>
    <mergeCell ref="K177:L177"/>
    <mergeCell ref="N177:O177"/>
    <mergeCell ref="K178:L178"/>
    <mergeCell ref="N178:O178"/>
    <mergeCell ref="K179:L179"/>
    <mergeCell ref="N179:O179"/>
    <mergeCell ref="K180:L180"/>
    <mergeCell ref="N180:O180"/>
    <mergeCell ref="K181:L181"/>
    <mergeCell ref="N181:O181"/>
    <mergeCell ref="K182:L182"/>
    <mergeCell ref="N182:O182"/>
    <mergeCell ref="F172:I176"/>
    <mergeCell ref="K172:L172"/>
    <mergeCell ref="N172:O172"/>
    <mergeCell ref="K173:L173"/>
    <mergeCell ref="N173:O173"/>
    <mergeCell ref="K174:L174"/>
    <mergeCell ref="N174:O174"/>
    <mergeCell ref="K175:L175"/>
    <mergeCell ref="N175:O175"/>
    <mergeCell ref="K176:L176"/>
    <mergeCell ref="N176:O176"/>
    <mergeCell ref="F188:I190"/>
    <mergeCell ref="K188:L188"/>
    <mergeCell ref="N188:O188"/>
    <mergeCell ref="K189:L189"/>
    <mergeCell ref="N189:O189"/>
    <mergeCell ref="K190:L190"/>
    <mergeCell ref="N190:O190"/>
    <mergeCell ref="F183:I187"/>
    <mergeCell ref="K183:L183"/>
    <mergeCell ref="N183:O183"/>
    <mergeCell ref="K184:L184"/>
    <mergeCell ref="N184:O184"/>
    <mergeCell ref="K185:L185"/>
    <mergeCell ref="N185:O185"/>
    <mergeCell ref="K186:L186"/>
    <mergeCell ref="N186:O186"/>
    <mergeCell ref="K187:L187"/>
    <mergeCell ref="N187:O187"/>
    <mergeCell ref="F194:I199"/>
    <mergeCell ref="K194:L194"/>
    <mergeCell ref="N194:O194"/>
    <mergeCell ref="K195:L195"/>
    <mergeCell ref="N195:O195"/>
    <mergeCell ref="K196:L196"/>
    <mergeCell ref="N196:O196"/>
    <mergeCell ref="K197:L197"/>
    <mergeCell ref="N197:O197"/>
    <mergeCell ref="K198:L198"/>
    <mergeCell ref="N198:O198"/>
    <mergeCell ref="K199:L199"/>
    <mergeCell ref="N199:O199"/>
    <mergeCell ref="F191:I193"/>
    <mergeCell ref="K191:L191"/>
    <mergeCell ref="N191:O191"/>
    <mergeCell ref="K192:L192"/>
    <mergeCell ref="N192:O192"/>
    <mergeCell ref="K193:L193"/>
    <mergeCell ref="N193:O193"/>
    <mergeCell ref="F205:I208"/>
    <mergeCell ref="K205:L205"/>
    <mergeCell ref="N205:O205"/>
    <mergeCell ref="K206:L206"/>
    <mergeCell ref="N206:O206"/>
    <mergeCell ref="K207:L207"/>
    <mergeCell ref="N207:O207"/>
    <mergeCell ref="K208:L208"/>
    <mergeCell ref="N208:O208"/>
    <mergeCell ref="F200:I204"/>
    <mergeCell ref="K200:L200"/>
    <mergeCell ref="N200:O200"/>
    <mergeCell ref="K201:L201"/>
    <mergeCell ref="N201:O201"/>
    <mergeCell ref="K202:L202"/>
    <mergeCell ref="N202:O202"/>
    <mergeCell ref="K203:L203"/>
    <mergeCell ref="N203:O203"/>
    <mergeCell ref="K204:L204"/>
    <mergeCell ref="N204:O204"/>
    <mergeCell ref="N214:O214"/>
    <mergeCell ref="K215:L215"/>
    <mergeCell ref="N215:O215"/>
    <mergeCell ref="K216:L216"/>
    <mergeCell ref="N216:O216"/>
    <mergeCell ref="F209:I209"/>
    <mergeCell ref="K209:L209"/>
    <mergeCell ref="N209:O209"/>
    <mergeCell ref="C210:E436"/>
    <mergeCell ref="F210:I211"/>
    <mergeCell ref="K210:L210"/>
    <mergeCell ref="N210:O210"/>
    <mergeCell ref="K211:L211"/>
    <mergeCell ref="N211:O211"/>
    <mergeCell ref="F212:I213"/>
    <mergeCell ref="K212:L212"/>
    <mergeCell ref="N212:O212"/>
    <mergeCell ref="K213:L213"/>
    <mergeCell ref="N213:O213"/>
    <mergeCell ref="F214:I218"/>
    <mergeCell ref="K214:L214"/>
    <mergeCell ref="F221:I227"/>
    <mergeCell ref="K221:L221"/>
    <mergeCell ref="N221:O221"/>
    <mergeCell ref="K222:L222"/>
    <mergeCell ref="N222:O222"/>
    <mergeCell ref="K223:L223"/>
    <mergeCell ref="N223:O223"/>
    <mergeCell ref="K224:L224"/>
    <mergeCell ref="N224:O224"/>
    <mergeCell ref="K225:L225"/>
    <mergeCell ref="N225:O225"/>
    <mergeCell ref="K226:L226"/>
    <mergeCell ref="N226:O226"/>
    <mergeCell ref="K227:L227"/>
    <mergeCell ref="N227:O227"/>
    <mergeCell ref="K217:L217"/>
    <mergeCell ref="N217:O217"/>
    <mergeCell ref="K218:L218"/>
    <mergeCell ref="N218:O218"/>
    <mergeCell ref="F219:I220"/>
    <mergeCell ref="K219:L219"/>
    <mergeCell ref="N219:O219"/>
    <mergeCell ref="K220:L220"/>
    <mergeCell ref="N220:O220"/>
    <mergeCell ref="K236:L236"/>
    <mergeCell ref="N236:O236"/>
    <mergeCell ref="K237:L237"/>
    <mergeCell ref="N237:O237"/>
    <mergeCell ref="K238:L238"/>
    <mergeCell ref="N238:O238"/>
    <mergeCell ref="K239:L239"/>
    <mergeCell ref="N239:O239"/>
    <mergeCell ref="K240:L240"/>
    <mergeCell ref="N240:O240"/>
    <mergeCell ref="K241:L241"/>
    <mergeCell ref="F228:I233"/>
    <mergeCell ref="K228:L228"/>
    <mergeCell ref="N228:O228"/>
    <mergeCell ref="K229:L229"/>
    <mergeCell ref="N229:O229"/>
    <mergeCell ref="K230:L230"/>
    <mergeCell ref="N230:O230"/>
    <mergeCell ref="K231:L231"/>
    <mergeCell ref="N231:O231"/>
    <mergeCell ref="K232:L232"/>
    <mergeCell ref="N232:O232"/>
    <mergeCell ref="K233:L233"/>
    <mergeCell ref="N233:O233"/>
    <mergeCell ref="F252:I253"/>
    <mergeCell ref="K252:L252"/>
    <mergeCell ref="N252:O252"/>
    <mergeCell ref="K253:L253"/>
    <mergeCell ref="N253:O253"/>
    <mergeCell ref="K249:L249"/>
    <mergeCell ref="N249:O249"/>
    <mergeCell ref="K250:L250"/>
    <mergeCell ref="N250:O250"/>
    <mergeCell ref="K251:L251"/>
    <mergeCell ref="N251:O251"/>
    <mergeCell ref="N241:O241"/>
    <mergeCell ref="K242:L242"/>
    <mergeCell ref="N242:O242"/>
    <mergeCell ref="F243:I251"/>
    <mergeCell ref="K243:L243"/>
    <mergeCell ref="N243:O243"/>
    <mergeCell ref="K244:L244"/>
    <mergeCell ref="N244:O244"/>
    <mergeCell ref="K245:L245"/>
    <mergeCell ref="N245:O245"/>
    <mergeCell ref="K246:L246"/>
    <mergeCell ref="N246:O246"/>
    <mergeCell ref="K247:L247"/>
    <mergeCell ref="N247:O247"/>
    <mergeCell ref="K248:L248"/>
    <mergeCell ref="N248:O248"/>
    <mergeCell ref="F234:I242"/>
    <mergeCell ref="K234:L234"/>
    <mergeCell ref="N234:O234"/>
    <mergeCell ref="K235:L235"/>
    <mergeCell ref="N235:O235"/>
    <mergeCell ref="F259:I263"/>
    <mergeCell ref="K259:L259"/>
    <mergeCell ref="N259:O259"/>
    <mergeCell ref="K260:L260"/>
    <mergeCell ref="N260:O260"/>
    <mergeCell ref="K261:L261"/>
    <mergeCell ref="N261:O261"/>
    <mergeCell ref="K262:L262"/>
    <mergeCell ref="N262:O262"/>
    <mergeCell ref="K263:L263"/>
    <mergeCell ref="N263:O263"/>
    <mergeCell ref="F254:I258"/>
    <mergeCell ref="K254:L254"/>
    <mergeCell ref="N254:O254"/>
    <mergeCell ref="K255:L255"/>
    <mergeCell ref="N255:O255"/>
    <mergeCell ref="K256:L256"/>
    <mergeCell ref="N256:O256"/>
    <mergeCell ref="K257:L257"/>
    <mergeCell ref="N257:O257"/>
    <mergeCell ref="K258:L258"/>
    <mergeCell ref="N258:O258"/>
    <mergeCell ref="F271:I273"/>
    <mergeCell ref="K271:L271"/>
    <mergeCell ref="N271:O271"/>
    <mergeCell ref="K272:L272"/>
    <mergeCell ref="N272:O272"/>
    <mergeCell ref="K273:L273"/>
    <mergeCell ref="N273:O273"/>
    <mergeCell ref="F264:I270"/>
    <mergeCell ref="K264:L264"/>
    <mergeCell ref="N264:O264"/>
    <mergeCell ref="K265:L265"/>
    <mergeCell ref="N265:O265"/>
    <mergeCell ref="K266:L266"/>
    <mergeCell ref="N266:O266"/>
    <mergeCell ref="K267:L267"/>
    <mergeCell ref="N267:O267"/>
    <mergeCell ref="K268:L268"/>
    <mergeCell ref="N268:O268"/>
    <mergeCell ref="K269:L269"/>
    <mergeCell ref="N269:O269"/>
    <mergeCell ref="K270:L270"/>
    <mergeCell ref="N270:O270"/>
    <mergeCell ref="F283:I284"/>
    <mergeCell ref="K283:L283"/>
    <mergeCell ref="N283:O283"/>
    <mergeCell ref="K284:L284"/>
    <mergeCell ref="N284:O284"/>
    <mergeCell ref="F280:I282"/>
    <mergeCell ref="K280:L280"/>
    <mergeCell ref="N280:O280"/>
    <mergeCell ref="K281:L281"/>
    <mergeCell ref="N281:O281"/>
    <mergeCell ref="K282:L282"/>
    <mergeCell ref="N282:O282"/>
    <mergeCell ref="F274:I279"/>
    <mergeCell ref="K274:L274"/>
    <mergeCell ref="N274:O274"/>
    <mergeCell ref="K275:L275"/>
    <mergeCell ref="N275:O275"/>
    <mergeCell ref="K276:L276"/>
    <mergeCell ref="N276:O276"/>
    <mergeCell ref="K277:L277"/>
    <mergeCell ref="N277:O277"/>
    <mergeCell ref="K278:L278"/>
    <mergeCell ref="N278:O278"/>
    <mergeCell ref="K279:L279"/>
    <mergeCell ref="N279:O279"/>
    <mergeCell ref="F290:I292"/>
    <mergeCell ref="K290:L290"/>
    <mergeCell ref="N290:O290"/>
    <mergeCell ref="K291:L291"/>
    <mergeCell ref="N291:O291"/>
    <mergeCell ref="K292:L292"/>
    <mergeCell ref="N292:O292"/>
    <mergeCell ref="F285:I289"/>
    <mergeCell ref="K285:L285"/>
    <mergeCell ref="N285:O285"/>
    <mergeCell ref="K286:L286"/>
    <mergeCell ref="N286:O286"/>
    <mergeCell ref="K287:L287"/>
    <mergeCell ref="N287:O287"/>
    <mergeCell ref="K288:L288"/>
    <mergeCell ref="N288:O288"/>
    <mergeCell ref="K289:L289"/>
    <mergeCell ref="N289:O289"/>
    <mergeCell ref="F296:I300"/>
    <mergeCell ref="K296:L296"/>
    <mergeCell ref="N296:O296"/>
    <mergeCell ref="K297:L297"/>
    <mergeCell ref="N297:O297"/>
    <mergeCell ref="K298:L298"/>
    <mergeCell ref="N298:O298"/>
    <mergeCell ref="K299:L299"/>
    <mergeCell ref="N299:O299"/>
    <mergeCell ref="K300:L300"/>
    <mergeCell ref="N300:O300"/>
    <mergeCell ref="F293:I295"/>
    <mergeCell ref="K293:L293"/>
    <mergeCell ref="N293:O293"/>
    <mergeCell ref="K294:L294"/>
    <mergeCell ref="N294:O294"/>
    <mergeCell ref="K295:L295"/>
    <mergeCell ref="N295:O295"/>
    <mergeCell ref="F307:I311"/>
    <mergeCell ref="K307:L307"/>
    <mergeCell ref="N307:O307"/>
    <mergeCell ref="K308:L308"/>
    <mergeCell ref="N308:O308"/>
    <mergeCell ref="K309:L309"/>
    <mergeCell ref="N309:O309"/>
    <mergeCell ref="K310:L310"/>
    <mergeCell ref="N310:O310"/>
    <mergeCell ref="K311:L311"/>
    <mergeCell ref="N311:O311"/>
    <mergeCell ref="F301:I306"/>
    <mergeCell ref="K301:L301"/>
    <mergeCell ref="N301:O301"/>
    <mergeCell ref="K302:L302"/>
    <mergeCell ref="N302:O302"/>
    <mergeCell ref="K303:L303"/>
    <mergeCell ref="N303:O303"/>
    <mergeCell ref="K304:L304"/>
    <mergeCell ref="N304:O304"/>
    <mergeCell ref="K305:L305"/>
    <mergeCell ref="N305:O305"/>
    <mergeCell ref="K306:L306"/>
    <mergeCell ref="N306:O306"/>
    <mergeCell ref="K321:L321"/>
    <mergeCell ref="N321:O321"/>
    <mergeCell ref="K322:L322"/>
    <mergeCell ref="N322:O322"/>
    <mergeCell ref="K323:L323"/>
    <mergeCell ref="N323:O323"/>
    <mergeCell ref="K324:L324"/>
    <mergeCell ref="N324:O324"/>
    <mergeCell ref="K325:L325"/>
    <mergeCell ref="F312:I317"/>
    <mergeCell ref="K312:L312"/>
    <mergeCell ref="N312:O312"/>
    <mergeCell ref="K313:L313"/>
    <mergeCell ref="N313:O313"/>
    <mergeCell ref="K314:L314"/>
    <mergeCell ref="N314:O314"/>
    <mergeCell ref="K315:L315"/>
    <mergeCell ref="N315:O315"/>
    <mergeCell ref="K316:L316"/>
    <mergeCell ref="N316:O316"/>
    <mergeCell ref="K317:L317"/>
    <mergeCell ref="N317:O317"/>
    <mergeCell ref="F332:I336"/>
    <mergeCell ref="K332:L332"/>
    <mergeCell ref="N332:O332"/>
    <mergeCell ref="K333:L333"/>
    <mergeCell ref="N333:O333"/>
    <mergeCell ref="K334:L334"/>
    <mergeCell ref="N334:O334"/>
    <mergeCell ref="K335:L335"/>
    <mergeCell ref="N335:O335"/>
    <mergeCell ref="K336:L336"/>
    <mergeCell ref="N336:O336"/>
    <mergeCell ref="N325:O325"/>
    <mergeCell ref="F326:I331"/>
    <mergeCell ref="K326:L326"/>
    <mergeCell ref="N326:O326"/>
    <mergeCell ref="K327:L327"/>
    <mergeCell ref="N327:O327"/>
    <mergeCell ref="K328:L328"/>
    <mergeCell ref="N328:O328"/>
    <mergeCell ref="K329:L329"/>
    <mergeCell ref="N329:O329"/>
    <mergeCell ref="K330:L330"/>
    <mergeCell ref="N330:O330"/>
    <mergeCell ref="K331:L331"/>
    <mergeCell ref="N331:O331"/>
    <mergeCell ref="F318:I325"/>
    <mergeCell ref="K318:L318"/>
    <mergeCell ref="N318:O318"/>
    <mergeCell ref="K319:L319"/>
    <mergeCell ref="N319:O319"/>
    <mergeCell ref="K320:L320"/>
    <mergeCell ref="N320:O320"/>
    <mergeCell ref="F343:I345"/>
    <mergeCell ref="K343:L343"/>
    <mergeCell ref="N343:O343"/>
    <mergeCell ref="K344:L344"/>
    <mergeCell ref="N344:O344"/>
    <mergeCell ref="K345:L345"/>
    <mergeCell ref="N345:O345"/>
    <mergeCell ref="F340:I342"/>
    <mergeCell ref="K340:L340"/>
    <mergeCell ref="N340:O340"/>
    <mergeCell ref="K341:L341"/>
    <mergeCell ref="N341:O341"/>
    <mergeCell ref="K342:L342"/>
    <mergeCell ref="N342:O342"/>
    <mergeCell ref="F337:I339"/>
    <mergeCell ref="K337:L337"/>
    <mergeCell ref="N337:O337"/>
    <mergeCell ref="K338:L338"/>
    <mergeCell ref="N338:O338"/>
    <mergeCell ref="K339:L339"/>
    <mergeCell ref="N339:O339"/>
    <mergeCell ref="F351:I352"/>
    <mergeCell ref="K351:L351"/>
    <mergeCell ref="N351:O351"/>
    <mergeCell ref="K352:L352"/>
    <mergeCell ref="N352:O352"/>
    <mergeCell ref="F349:I350"/>
    <mergeCell ref="K349:L349"/>
    <mergeCell ref="N349:O349"/>
    <mergeCell ref="K350:L350"/>
    <mergeCell ref="N350:O350"/>
    <mergeCell ref="F346:I348"/>
    <mergeCell ref="K346:L346"/>
    <mergeCell ref="N346:O346"/>
    <mergeCell ref="K347:L347"/>
    <mergeCell ref="N347:O347"/>
    <mergeCell ref="K348:L348"/>
    <mergeCell ref="N348:O348"/>
    <mergeCell ref="N360:O360"/>
    <mergeCell ref="F361:I366"/>
    <mergeCell ref="K361:L361"/>
    <mergeCell ref="N361:O361"/>
    <mergeCell ref="K362:L362"/>
    <mergeCell ref="N362:O362"/>
    <mergeCell ref="K363:L363"/>
    <mergeCell ref="N363:O363"/>
    <mergeCell ref="K364:L364"/>
    <mergeCell ref="N364:O364"/>
    <mergeCell ref="K365:L365"/>
    <mergeCell ref="N365:O365"/>
    <mergeCell ref="K366:L366"/>
    <mergeCell ref="N366:O366"/>
    <mergeCell ref="F353:I360"/>
    <mergeCell ref="K353:L353"/>
    <mergeCell ref="N353:O353"/>
    <mergeCell ref="K354:L354"/>
    <mergeCell ref="N354:O354"/>
    <mergeCell ref="K355:L355"/>
    <mergeCell ref="N355:O355"/>
    <mergeCell ref="K356:L356"/>
    <mergeCell ref="N356:O356"/>
    <mergeCell ref="K357:L357"/>
    <mergeCell ref="N357:O357"/>
    <mergeCell ref="K358:L358"/>
    <mergeCell ref="N358:O358"/>
    <mergeCell ref="K359:L359"/>
    <mergeCell ref="N359:O359"/>
    <mergeCell ref="K360:L360"/>
    <mergeCell ref="F371:I375"/>
    <mergeCell ref="K371:L371"/>
    <mergeCell ref="N371:O371"/>
    <mergeCell ref="K372:L372"/>
    <mergeCell ref="N372:O372"/>
    <mergeCell ref="K373:L373"/>
    <mergeCell ref="N373:O373"/>
    <mergeCell ref="K374:L374"/>
    <mergeCell ref="N374:O374"/>
    <mergeCell ref="K375:L375"/>
    <mergeCell ref="N375:O375"/>
    <mergeCell ref="F367:I370"/>
    <mergeCell ref="K367:L367"/>
    <mergeCell ref="N367:O367"/>
    <mergeCell ref="K368:L368"/>
    <mergeCell ref="N368:O368"/>
    <mergeCell ref="K369:L369"/>
    <mergeCell ref="N369:O369"/>
    <mergeCell ref="K370:L370"/>
    <mergeCell ref="N370:O370"/>
    <mergeCell ref="F381:I385"/>
    <mergeCell ref="K381:L381"/>
    <mergeCell ref="N381:O381"/>
    <mergeCell ref="K382:L382"/>
    <mergeCell ref="N382:O382"/>
    <mergeCell ref="K383:L383"/>
    <mergeCell ref="N383:O383"/>
    <mergeCell ref="K384:L384"/>
    <mergeCell ref="N384:O384"/>
    <mergeCell ref="K385:L385"/>
    <mergeCell ref="N385:O385"/>
    <mergeCell ref="F376:I380"/>
    <mergeCell ref="K376:L376"/>
    <mergeCell ref="N376:O376"/>
    <mergeCell ref="K377:L377"/>
    <mergeCell ref="N377:O377"/>
    <mergeCell ref="K378:L378"/>
    <mergeCell ref="N378:O378"/>
    <mergeCell ref="K379:L379"/>
    <mergeCell ref="N379:O379"/>
    <mergeCell ref="K380:L380"/>
    <mergeCell ref="N380:O380"/>
    <mergeCell ref="F391:I396"/>
    <mergeCell ref="K391:L391"/>
    <mergeCell ref="N391:O391"/>
    <mergeCell ref="K392:L392"/>
    <mergeCell ref="N392:O392"/>
    <mergeCell ref="K393:L393"/>
    <mergeCell ref="N393:O393"/>
    <mergeCell ref="K394:L394"/>
    <mergeCell ref="N394:O394"/>
    <mergeCell ref="K395:L395"/>
    <mergeCell ref="N395:O395"/>
    <mergeCell ref="K396:L396"/>
    <mergeCell ref="N396:O396"/>
    <mergeCell ref="F386:I390"/>
    <mergeCell ref="K386:L386"/>
    <mergeCell ref="N386:O386"/>
    <mergeCell ref="K387:L387"/>
    <mergeCell ref="N387:O387"/>
    <mergeCell ref="K388:L388"/>
    <mergeCell ref="N388:O388"/>
    <mergeCell ref="K389:L389"/>
    <mergeCell ref="N389:O389"/>
    <mergeCell ref="K390:L390"/>
    <mergeCell ref="N390:O390"/>
    <mergeCell ref="F402:I405"/>
    <mergeCell ref="K402:L402"/>
    <mergeCell ref="N402:O402"/>
    <mergeCell ref="K403:L403"/>
    <mergeCell ref="N403:O403"/>
    <mergeCell ref="K404:L404"/>
    <mergeCell ref="N404:O404"/>
    <mergeCell ref="K405:L405"/>
    <mergeCell ref="N405:O405"/>
    <mergeCell ref="F397:I401"/>
    <mergeCell ref="K397:L397"/>
    <mergeCell ref="N397:O397"/>
    <mergeCell ref="K398:L398"/>
    <mergeCell ref="N398:O398"/>
    <mergeCell ref="K399:L399"/>
    <mergeCell ref="N399:O399"/>
    <mergeCell ref="K400:L400"/>
    <mergeCell ref="N400:O400"/>
    <mergeCell ref="K401:L401"/>
    <mergeCell ref="N401:O401"/>
    <mergeCell ref="F411:I416"/>
    <mergeCell ref="K411:L411"/>
    <mergeCell ref="N411:O411"/>
    <mergeCell ref="K412:L412"/>
    <mergeCell ref="N412:O412"/>
    <mergeCell ref="K413:L413"/>
    <mergeCell ref="N413:O413"/>
    <mergeCell ref="K414:L414"/>
    <mergeCell ref="N414:O414"/>
    <mergeCell ref="K415:L415"/>
    <mergeCell ref="N415:O415"/>
    <mergeCell ref="K416:L416"/>
    <mergeCell ref="N416:O416"/>
    <mergeCell ref="F406:I410"/>
    <mergeCell ref="K406:L406"/>
    <mergeCell ref="N406:O406"/>
    <mergeCell ref="K407:L407"/>
    <mergeCell ref="N407:O407"/>
    <mergeCell ref="K408:L408"/>
    <mergeCell ref="N408:O408"/>
    <mergeCell ref="K409:L409"/>
    <mergeCell ref="N409:O409"/>
    <mergeCell ref="K410:L410"/>
    <mergeCell ref="N410:O410"/>
    <mergeCell ref="F422:I426"/>
    <mergeCell ref="K422:L422"/>
    <mergeCell ref="N422:O422"/>
    <mergeCell ref="K423:L423"/>
    <mergeCell ref="N423:O423"/>
    <mergeCell ref="K424:L424"/>
    <mergeCell ref="N424:O424"/>
    <mergeCell ref="K425:L425"/>
    <mergeCell ref="N425:O425"/>
    <mergeCell ref="K426:L426"/>
    <mergeCell ref="N426:O426"/>
    <mergeCell ref="F417:I421"/>
    <mergeCell ref="K417:L417"/>
    <mergeCell ref="N417:O417"/>
    <mergeCell ref="K418:L418"/>
    <mergeCell ref="N418:O418"/>
    <mergeCell ref="K419:L419"/>
    <mergeCell ref="N419:O419"/>
    <mergeCell ref="K420:L420"/>
    <mergeCell ref="N420:O420"/>
    <mergeCell ref="K421:L421"/>
    <mergeCell ref="N421:O421"/>
    <mergeCell ref="F436:I436"/>
    <mergeCell ref="K436:L436"/>
    <mergeCell ref="N436:O436"/>
    <mergeCell ref="C437:E437"/>
    <mergeCell ref="F437:I437"/>
    <mergeCell ref="K437:L437"/>
    <mergeCell ref="N437:O437"/>
    <mergeCell ref="F432:I435"/>
    <mergeCell ref="K432:L432"/>
    <mergeCell ref="N432:O432"/>
    <mergeCell ref="K433:L433"/>
    <mergeCell ref="N433:O433"/>
    <mergeCell ref="K434:L434"/>
    <mergeCell ref="N434:O434"/>
    <mergeCell ref="K435:L435"/>
    <mergeCell ref="N435:O435"/>
    <mergeCell ref="F427:I431"/>
    <mergeCell ref="K427:L427"/>
    <mergeCell ref="N427:O427"/>
    <mergeCell ref="K428:L428"/>
    <mergeCell ref="N428:O428"/>
    <mergeCell ref="K429:L429"/>
    <mergeCell ref="N429:O429"/>
    <mergeCell ref="K430:L430"/>
    <mergeCell ref="N430:O430"/>
    <mergeCell ref="K431:L431"/>
    <mergeCell ref="N431:O431"/>
    <mergeCell ref="C441:E441"/>
    <mergeCell ref="F441:I441"/>
    <mergeCell ref="K441:L441"/>
    <mergeCell ref="N441:O441"/>
    <mergeCell ref="B442:B861"/>
    <mergeCell ref="C442:E634"/>
    <mergeCell ref="F442:I443"/>
    <mergeCell ref="K442:L442"/>
    <mergeCell ref="N442:O442"/>
    <mergeCell ref="K443:L443"/>
    <mergeCell ref="N443:O443"/>
    <mergeCell ref="F444:I446"/>
    <mergeCell ref="K444:L444"/>
    <mergeCell ref="N444:O444"/>
    <mergeCell ref="K445:L445"/>
    <mergeCell ref="N445:O445"/>
    <mergeCell ref="L440:Q440"/>
    <mergeCell ref="F451:I455"/>
    <mergeCell ref="K451:L451"/>
    <mergeCell ref="N451:O451"/>
    <mergeCell ref="K452:L452"/>
    <mergeCell ref="N452:O452"/>
    <mergeCell ref="K453:L453"/>
    <mergeCell ref="N453:O453"/>
    <mergeCell ref="K454:L454"/>
    <mergeCell ref="N454:O454"/>
    <mergeCell ref="K455:L455"/>
    <mergeCell ref="N455:O455"/>
    <mergeCell ref="F449:I450"/>
    <mergeCell ref="K449:L449"/>
    <mergeCell ref="N449:O449"/>
    <mergeCell ref="K450:L450"/>
    <mergeCell ref="N450:O450"/>
    <mergeCell ref="K446:L446"/>
    <mergeCell ref="N446:O446"/>
    <mergeCell ref="F447:I448"/>
    <mergeCell ref="K447:L447"/>
    <mergeCell ref="N447:O447"/>
    <mergeCell ref="K448:L448"/>
    <mergeCell ref="N448:O448"/>
    <mergeCell ref="F462:I468"/>
    <mergeCell ref="K462:L462"/>
    <mergeCell ref="N462:O462"/>
    <mergeCell ref="K463:L463"/>
    <mergeCell ref="N463:O463"/>
    <mergeCell ref="K464:L464"/>
    <mergeCell ref="N464:O464"/>
    <mergeCell ref="K465:L465"/>
    <mergeCell ref="N465:O465"/>
    <mergeCell ref="K466:L466"/>
    <mergeCell ref="N466:O466"/>
    <mergeCell ref="K467:L467"/>
    <mergeCell ref="N467:O467"/>
    <mergeCell ref="K468:L468"/>
    <mergeCell ref="N468:O468"/>
    <mergeCell ref="F456:I461"/>
    <mergeCell ref="K456:L456"/>
    <mergeCell ref="N456:O456"/>
    <mergeCell ref="K457:L457"/>
    <mergeCell ref="N457:O457"/>
    <mergeCell ref="K458:L458"/>
    <mergeCell ref="N458:O458"/>
    <mergeCell ref="K459:L459"/>
    <mergeCell ref="N459:O459"/>
    <mergeCell ref="K460:L460"/>
    <mergeCell ref="N460:O460"/>
    <mergeCell ref="K461:L461"/>
    <mergeCell ref="N461:O461"/>
    <mergeCell ref="F476:I477"/>
    <mergeCell ref="K476:L476"/>
    <mergeCell ref="N476:O476"/>
    <mergeCell ref="K477:L477"/>
    <mergeCell ref="N477:O477"/>
    <mergeCell ref="F471:I475"/>
    <mergeCell ref="K471:L471"/>
    <mergeCell ref="N471:O471"/>
    <mergeCell ref="K472:L472"/>
    <mergeCell ref="N472:O472"/>
    <mergeCell ref="K473:L473"/>
    <mergeCell ref="N473:O473"/>
    <mergeCell ref="K474:L474"/>
    <mergeCell ref="N474:O474"/>
    <mergeCell ref="K475:L475"/>
    <mergeCell ref="N475:O475"/>
    <mergeCell ref="F469:I470"/>
    <mergeCell ref="K469:L469"/>
    <mergeCell ref="N469:O469"/>
    <mergeCell ref="K470:L470"/>
    <mergeCell ref="N470:O470"/>
    <mergeCell ref="F484:I488"/>
    <mergeCell ref="K484:L484"/>
    <mergeCell ref="N484:O484"/>
    <mergeCell ref="K485:L485"/>
    <mergeCell ref="N485:O485"/>
    <mergeCell ref="K486:L486"/>
    <mergeCell ref="N486:O486"/>
    <mergeCell ref="K487:L487"/>
    <mergeCell ref="N487:O487"/>
    <mergeCell ref="K488:L488"/>
    <mergeCell ref="N488:O488"/>
    <mergeCell ref="F478:I483"/>
    <mergeCell ref="K478:L478"/>
    <mergeCell ref="N478:O478"/>
    <mergeCell ref="K479:L479"/>
    <mergeCell ref="N479:O479"/>
    <mergeCell ref="K480:L480"/>
    <mergeCell ref="N480:O480"/>
    <mergeCell ref="K481:L481"/>
    <mergeCell ref="N481:O481"/>
    <mergeCell ref="K482:L482"/>
    <mergeCell ref="N482:O482"/>
    <mergeCell ref="K483:L483"/>
    <mergeCell ref="N483:O483"/>
    <mergeCell ref="F494:I496"/>
    <mergeCell ref="K494:L494"/>
    <mergeCell ref="N494:O494"/>
    <mergeCell ref="K495:L495"/>
    <mergeCell ref="N495:O495"/>
    <mergeCell ref="K496:L496"/>
    <mergeCell ref="N496:O496"/>
    <mergeCell ref="F489:I493"/>
    <mergeCell ref="K489:L489"/>
    <mergeCell ref="N489:O489"/>
    <mergeCell ref="K490:L490"/>
    <mergeCell ref="N490:O490"/>
    <mergeCell ref="K491:L491"/>
    <mergeCell ref="N491:O491"/>
    <mergeCell ref="K492:L492"/>
    <mergeCell ref="N492:O492"/>
    <mergeCell ref="K493:L493"/>
    <mergeCell ref="N493:O493"/>
    <mergeCell ref="F500:I504"/>
    <mergeCell ref="K500:L500"/>
    <mergeCell ref="N500:O500"/>
    <mergeCell ref="K501:L501"/>
    <mergeCell ref="N501:O501"/>
    <mergeCell ref="K502:L502"/>
    <mergeCell ref="N502:O502"/>
    <mergeCell ref="K503:L503"/>
    <mergeCell ref="N503:O503"/>
    <mergeCell ref="K504:L504"/>
    <mergeCell ref="N504:O504"/>
    <mergeCell ref="F497:I499"/>
    <mergeCell ref="K497:L497"/>
    <mergeCell ref="N497:O497"/>
    <mergeCell ref="K498:L498"/>
    <mergeCell ref="N498:O498"/>
    <mergeCell ref="K499:L499"/>
    <mergeCell ref="N499:O499"/>
    <mergeCell ref="F511:I515"/>
    <mergeCell ref="K511:L511"/>
    <mergeCell ref="N511:O511"/>
    <mergeCell ref="K512:L512"/>
    <mergeCell ref="N512:O512"/>
    <mergeCell ref="K513:L513"/>
    <mergeCell ref="N513:O513"/>
    <mergeCell ref="K514:L514"/>
    <mergeCell ref="N514:O514"/>
    <mergeCell ref="K515:L515"/>
    <mergeCell ref="N515:O515"/>
    <mergeCell ref="F505:I510"/>
    <mergeCell ref="K505:L505"/>
    <mergeCell ref="N505:O505"/>
    <mergeCell ref="K506:L506"/>
    <mergeCell ref="N506:O506"/>
    <mergeCell ref="K507:L507"/>
    <mergeCell ref="N507:O507"/>
    <mergeCell ref="K508:L508"/>
    <mergeCell ref="N508:O508"/>
    <mergeCell ref="K509:L509"/>
    <mergeCell ref="N509:O509"/>
    <mergeCell ref="K510:L510"/>
    <mergeCell ref="N510:O510"/>
    <mergeCell ref="F521:I526"/>
    <mergeCell ref="K521:L521"/>
    <mergeCell ref="N521:O521"/>
    <mergeCell ref="K522:L522"/>
    <mergeCell ref="N522:O522"/>
    <mergeCell ref="K523:L523"/>
    <mergeCell ref="N523:O523"/>
    <mergeCell ref="K524:L524"/>
    <mergeCell ref="N524:O524"/>
    <mergeCell ref="K525:L525"/>
    <mergeCell ref="N525:O525"/>
    <mergeCell ref="K526:L526"/>
    <mergeCell ref="N526:O526"/>
    <mergeCell ref="F516:I520"/>
    <mergeCell ref="K516:L516"/>
    <mergeCell ref="N516:O516"/>
    <mergeCell ref="K517:L517"/>
    <mergeCell ref="N517:O517"/>
    <mergeCell ref="K518:L518"/>
    <mergeCell ref="N518:O518"/>
    <mergeCell ref="K519:L519"/>
    <mergeCell ref="N519:O519"/>
    <mergeCell ref="K520:L520"/>
    <mergeCell ref="N520:O520"/>
    <mergeCell ref="N534:O534"/>
    <mergeCell ref="K535:L535"/>
    <mergeCell ref="N535:O535"/>
    <mergeCell ref="F536:I543"/>
    <mergeCell ref="K536:L536"/>
    <mergeCell ref="N536:O536"/>
    <mergeCell ref="K537:L537"/>
    <mergeCell ref="N537:O537"/>
    <mergeCell ref="K538:L538"/>
    <mergeCell ref="N538:O538"/>
    <mergeCell ref="K539:L539"/>
    <mergeCell ref="N539:O539"/>
    <mergeCell ref="K540:L540"/>
    <mergeCell ref="N540:O540"/>
    <mergeCell ref="K541:L541"/>
    <mergeCell ref="N541:O541"/>
    <mergeCell ref="F527:I535"/>
    <mergeCell ref="K527:L527"/>
    <mergeCell ref="N527:O527"/>
    <mergeCell ref="K528:L528"/>
    <mergeCell ref="N528:O528"/>
    <mergeCell ref="K529:L529"/>
    <mergeCell ref="N529:O529"/>
    <mergeCell ref="K530:L530"/>
    <mergeCell ref="N530:O530"/>
    <mergeCell ref="K531:L531"/>
    <mergeCell ref="N531:O531"/>
    <mergeCell ref="K532:L532"/>
    <mergeCell ref="N532:O532"/>
    <mergeCell ref="K533:L533"/>
    <mergeCell ref="N533:O533"/>
    <mergeCell ref="K534:L534"/>
    <mergeCell ref="F549:I553"/>
    <mergeCell ref="K549:L549"/>
    <mergeCell ref="N549:O549"/>
    <mergeCell ref="K550:L550"/>
    <mergeCell ref="N550:O550"/>
    <mergeCell ref="K551:L551"/>
    <mergeCell ref="N551:O551"/>
    <mergeCell ref="K552:L552"/>
    <mergeCell ref="N552:O552"/>
    <mergeCell ref="K553:L553"/>
    <mergeCell ref="N553:O553"/>
    <mergeCell ref="K542:L542"/>
    <mergeCell ref="N542:O542"/>
    <mergeCell ref="K543:L543"/>
    <mergeCell ref="N543:O543"/>
    <mergeCell ref="F544:I548"/>
    <mergeCell ref="K544:L544"/>
    <mergeCell ref="N544:O544"/>
    <mergeCell ref="K545:L545"/>
    <mergeCell ref="N545:O545"/>
    <mergeCell ref="K546:L546"/>
    <mergeCell ref="N546:O546"/>
    <mergeCell ref="K547:L547"/>
    <mergeCell ref="N547:O547"/>
    <mergeCell ref="K548:L548"/>
    <mergeCell ref="N548:O548"/>
    <mergeCell ref="F557:I561"/>
    <mergeCell ref="K557:L557"/>
    <mergeCell ref="N557:O557"/>
    <mergeCell ref="K558:L558"/>
    <mergeCell ref="N558:O558"/>
    <mergeCell ref="K559:L559"/>
    <mergeCell ref="N559:O559"/>
    <mergeCell ref="K560:L560"/>
    <mergeCell ref="N560:O560"/>
    <mergeCell ref="K561:L561"/>
    <mergeCell ref="N561:O561"/>
    <mergeCell ref="F554:I556"/>
    <mergeCell ref="K554:L554"/>
    <mergeCell ref="N554:O554"/>
    <mergeCell ref="K555:L555"/>
    <mergeCell ref="N555:O555"/>
    <mergeCell ref="K556:L556"/>
    <mergeCell ref="N556:O556"/>
    <mergeCell ref="N565:O565"/>
    <mergeCell ref="K566:L566"/>
    <mergeCell ref="N566:O566"/>
    <mergeCell ref="K567:L567"/>
    <mergeCell ref="N567:O567"/>
    <mergeCell ref="K568:L568"/>
    <mergeCell ref="N568:O568"/>
    <mergeCell ref="K569:L569"/>
    <mergeCell ref="N569:O569"/>
    <mergeCell ref="K570:L570"/>
    <mergeCell ref="N570:O570"/>
    <mergeCell ref="K571:L571"/>
    <mergeCell ref="N571:O571"/>
    <mergeCell ref="K572:L572"/>
    <mergeCell ref="F562:I564"/>
    <mergeCell ref="K562:L562"/>
    <mergeCell ref="N562:O562"/>
    <mergeCell ref="K563:L563"/>
    <mergeCell ref="N563:O563"/>
    <mergeCell ref="K564:L564"/>
    <mergeCell ref="N564:O564"/>
    <mergeCell ref="F583:I585"/>
    <mergeCell ref="K583:L583"/>
    <mergeCell ref="N583:O583"/>
    <mergeCell ref="K584:L584"/>
    <mergeCell ref="N584:O584"/>
    <mergeCell ref="K585:L585"/>
    <mergeCell ref="N585:O585"/>
    <mergeCell ref="F579:I582"/>
    <mergeCell ref="K579:L579"/>
    <mergeCell ref="N579:O579"/>
    <mergeCell ref="K580:L580"/>
    <mergeCell ref="N580:O580"/>
    <mergeCell ref="K581:L581"/>
    <mergeCell ref="N581:O581"/>
    <mergeCell ref="K582:L582"/>
    <mergeCell ref="N582:O582"/>
    <mergeCell ref="N572:O572"/>
    <mergeCell ref="F573:I578"/>
    <mergeCell ref="K573:L573"/>
    <mergeCell ref="N573:O573"/>
    <mergeCell ref="K574:L574"/>
    <mergeCell ref="N574:O574"/>
    <mergeCell ref="K575:L575"/>
    <mergeCell ref="N575:O575"/>
    <mergeCell ref="K576:L576"/>
    <mergeCell ref="N576:O576"/>
    <mergeCell ref="K577:L577"/>
    <mergeCell ref="N577:O577"/>
    <mergeCell ref="K578:L578"/>
    <mergeCell ref="N578:O578"/>
    <mergeCell ref="F565:I572"/>
    <mergeCell ref="K565:L565"/>
    <mergeCell ref="F591:I595"/>
    <mergeCell ref="K591:L591"/>
    <mergeCell ref="N591:O591"/>
    <mergeCell ref="K592:L592"/>
    <mergeCell ref="N592:O592"/>
    <mergeCell ref="K593:L593"/>
    <mergeCell ref="N593:O593"/>
    <mergeCell ref="K594:L594"/>
    <mergeCell ref="N594:O594"/>
    <mergeCell ref="K595:L595"/>
    <mergeCell ref="N595:O595"/>
    <mergeCell ref="F586:I590"/>
    <mergeCell ref="K586:L586"/>
    <mergeCell ref="N586:O586"/>
    <mergeCell ref="K587:L587"/>
    <mergeCell ref="N587:O587"/>
    <mergeCell ref="K588:L588"/>
    <mergeCell ref="N588:O588"/>
    <mergeCell ref="K589:L589"/>
    <mergeCell ref="N589:O589"/>
    <mergeCell ref="K590:L590"/>
    <mergeCell ref="N590:O590"/>
    <mergeCell ref="F601:I606"/>
    <mergeCell ref="K601:L601"/>
    <mergeCell ref="N601:O601"/>
    <mergeCell ref="K602:L602"/>
    <mergeCell ref="N602:O602"/>
    <mergeCell ref="K603:L603"/>
    <mergeCell ref="N603:O603"/>
    <mergeCell ref="K604:L604"/>
    <mergeCell ref="N604:O604"/>
    <mergeCell ref="K605:L605"/>
    <mergeCell ref="N605:O605"/>
    <mergeCell ref="K606:L606"/>
    <mergeCell ref="N606:O606"/>
    <mergeCell ref="F596:I600"/>
    <mergeCell ref="K596:L596"/>
    <mergeCell ref="N596:O596"/>
    <mergeCell ref="K597:L597"/>
    <mergeCell ref="N597:O597"/>
    <mergeCell ref="K598:L598"/>
    <mergeCell ref="N598:O598"/>
    <mergeCell ref="K599:L599"/>
    <mergeCell ref="N599:O599"/>
    <mergeCell ref="K600:L600"/>
    <mergeCell ref="N600:O600"/>
    <mergeCell ref="F615:I618"/>
    <mergeCell ref="K615:L615"/>
    <mergeCell ref="N615:O615"/>
    <mergeCell ref="K616:L616"/>
    <mergeCell ref="N616:O616"/>
    <mergeCell ref="K617:L617"/>
    <mergeCell ref="N617:O617"/>
    <mergeCell ref="K618:L618"/>
    <mergeCell ref="N618:O618"/>
    <mergeCell ref="F612:I614"/>
    <mergeCell ref="K612:L612"/>
    <mergeCell ref="N612:O612"/>
    <mergeCell ref="K613:L613"/>
    <mergeCell ref="N613:O613"/>
    <mergeCell ref="K614:L614"/>
    <mergeCell ref="N614:O614"/>
    <mergeCell ref="F607:I611"/>
    <mergeCell ref="K607:L607"/>
    <mergeCell ref="N607:O607"/>
    <mergeCell ref="K608:L608"/>
    <mergeCell ref="N608:O608"/>
    <mergeCell ref="K609:L609"/>
    <mergeCell ref="N609:O609"/>
    <mergeCell ref="K610:L610"/>
    <mergeCell ref="N610:O610"/>
    <mergeCell ref="K611:L611"/>
    <mergeCell ref="N611:O611"/>
    <mergeCell ref="F625:I629"/>
    <mergeCell ref="K625:L625"/>
    <mergeCell ref="N625:O625"/>
    <mergeCell ref="K626:L626"/>
    <mergeCell ref="N626:O626"/>
    <mergeCell ref="K627:L627"/>
    <mergeCell ref="N627:O627"/>
    <mergeCell ref="K628:L628"/>
    <mergeCell ref="N628:O628"/>
    <mergeCell ref="K629:L629"/>
    <mergeCell ref="N629:O629"/>
    <mergeCell ref="F619:I624"/>
    <mergeCell ref="K619:L619"/>
    <mergeCell ref="N619:O619"/>
    <mergeCell ref="K620:L620"/>
    <mergeCell ref="N620:O620"/>
    <mergeCell ref="K621:L621"/>
    <mergeCell ref="N621:O621"/>
    <mergeCell ref="K622:L622"/>
    <mergeCell ref="N622:O622"/>
    <mergeCell ref="K623:L623"/>
    <mergeCell ref="N623:O623"/>
    <mergeCell ref="K624:L624"/>
    <mergeCell ref="N624:O624"/>
    <mergeCell ref="F634:I634"/>
    <mergeCell ref="K634:L634"/>
    <mergeCell ref="N634:O634"/>
    <mergeCell ref="C635:E860"/>
    <mergeCell ref="F635:I641"/>
    <mergeCell ref="K635:L635"/>
    <mergeCell ref="N635:O635"/>
    <mergeCell ref="K636:L636"/>
    <mergeCell ref="N636:O636"/>
    <mergeCell ref="K637:L637"/>
    <mergeCell ref="N637:O637"/>
    <mergeCell ref="K638:L638"/>
    <mergeCell ref="N638:O638"/>
    <mergeCell ref="K639:L639"/>
    <mergeCell ref="N639:O639"/>
    <mergeCell ref="K640:L640"/>
    <mergeCell ref="F630:I633"/>
    <mergeCell ref="K630:L630"/>
    <mergeCell ref="N630:O630"/>
    <mergeCell ref="K631:L631"/>
    <mergeCell ref="N631:O631"/>
    <mergeCell ref="K632:L632"/>
    <mergeCell ref="N632:O632"/>
    <mergeCell ref="K633:L633"/>
    <mergeCell ref="N633:O633"/>
    <mergeCell ref="N651:O651"/>
    <mergeCell ref="K652:L652"/>
    <mergeCell ref="N652:O652"/>
    <mergeCell ref="K653:L653"/>
    <mergeCell ref="N653:O653"/>
    <mergeCell ref="K654:L654"/>
    <mergeCell ref="N654:O654"/>
    <mergeCell ref="K655:L655"/>
    <mergeCell ref="N640:O640"/>
    <mergeCell ref="K641:L641"/>
    <mergeCell ref="N641:O641"/>
    <mergeCell ref="F642:I647"/>
    <mergeCell ref="K642:L642"/>
    <mergeCell ref="N642:O642"/>
    <mergeCell ref="K643:L643"/>
    <mergeCell ref="N643:O643"/>
    <mergeCell ref="K644:L644"/>
    <mergeCell ref="N644:O644"/>
    <mergeCell ref="K645:L645"/>
    <mergeCell ref="N645:O645"/>
    <mergeCell ref="K646:L646"/>
    <mergeCell ref="N646:O646"/>
    <mergeCell ref="K647:L647"/>
    <mergeCell ref="N647:O647"/>
    <mergeCell ref="F661:I665"/>
    <mergeCell ref="K661:L661"/>
    <mergeCell ref="N661:O661"/>
    <mergeCell ref="K662:L662"/>
    <mergeCell ref="N662:O662"/>
    <mergeCell ref="K663:L663"/>
    <mergeCell ref="N663:O663"/>
    <mergeCell ref="K664:L664"/>
    <mergeCell ref="N664:O664"/>
    <mergeCell ref="K665:L665"/>
    <mergeCell ref="N665:O665"/>
    <mergeCell ref="F659:I660"/>
    <mergeCell ref="K659:L659"/>
    <mergeCell ref="N659:O659"/>
    <mergeCell ref="K660:L660"/>
    <mergeCell ref="N660:O660"/>
    <mergeCell ref="N655:O655"/>
    <mergeCell ref="K656:L656"/>
    <mergeCell ref="N656:O656"/>
    <mergeCell ref="F657:I658"/>
    <mergeCell ref="K657:L657"/>
    <mergeCell ref="N657:O657"/>
    <mergeCell ref="K658:L658"/>
    <mergeCell ref="N658:O658"/>
    <mergeCell ref="F648:I656"/>
    <mergeCell ref="K648:L648"/>
    <mergeCell ref="N648:O648"/>
    <mergeCell ref="K649:L649"/>
    <mergeCell ref="N649:O649"/>
    <mergeCell ref="K650:L650"/>
    <mergeCell ref="N650:O650"/>
    <mergeCell ref="K651:L651"/>
    <mergeCell ref="F675:I677"/>
    <mergeCell ref="K675:L675"/>
    <mergeCell ref="N675:O675"/>
    <mergeCell ref="K676:L676"/>
    <mergeCell ref="N676:O676"/>
    <mergeCell ref="K677:L677"/>
    <mergeCell ref="N677:O677"/>
    <mergeCell ref="F673:I674"/>
    <mergeCell ref="K673:L673"/>
    <mergeCell ref="N673:O673"/>
    <mergeCell ref="K674:L674"/>
    <mergeCell ref="N674:O674"/>
    <mergeCell ref="F666:I672"/>
    <mergeCell ref="K666:L666"/>
    <mergeCell ref="N666:O666"/>
    <mergeCell ref="K667:L667"/>
    <mergeCell ref="N667:O667"/>
    <mergeCell ref="K668:L668"/>
    <mergeCell ref="N668:O668"/>
    <mergeCell ref="K669:L669"/>
    <mergeCell ref="N669:O669"/>
    <mergeCell ref="K670:L670"/>
    <mergeCell ref="N670:O670"/>
    <mergeCell ref="K671:L671"/>
    <mergeCell ref="N671:O671"/>
    <mergeCell ref="K672:L672"/>
    <mergeCell ref="N672:O672"/>
    <mergeCell ref="F683:I688"/>
    <mergeCell ref="K683:L683"/>
    <mergeCell ref="N683:O683"/>
    <mergeCell ref="K684:L684"/>
    <mergeCell ref="N684:O684"/>
    <mergeCell ref="K685:L685"/>
    <mergeCell ref="N685:O685"/>
    <mergeCell ref="K686:L686"/>
    <mergeCell ref="N686:O686"/>
    <mergeCell ref="K687:L687"/>
    <mergeCell ref="N687:O687"/>
    <mergeCell ref="K688:L688"/>
    <mergeCell ref="N688:O688"/>
    <mergeCell ref="F678:I682"/>
    <mergeCell ref="K678:L678"/>
    <mergeCell ref="N678:O678"/>
    <mergeCell ref="K679:L679"/>
    <mergeCell ref="N679:O679"/>
    <mergeCell ref="K680:L680"/>
    <mergeCell ref="N680:O680"/>
    <mergeCell ref="K681:L681"/>
    <mergeCell ref="N681:O681"/>
    <mergeCell ref="K682:L682"/>
    <mergeCell ref="N682:O682"/>
    <mergeCell ref="F694:I695"/>
    <mergeCell ref="K694:L694"/>
    <mergeCell ref="N694:O694"/>
    <mergeCell ref="K695:L695"/>
    <mergeCell ref="N695:O695"/>
    <mergeCell ref="F692:I693"/>
    <mergeCell ref="K692:L692"/>
    <mergeCell ref="N692:O692"/>
    <mergeCell ref="K693:L693"/>
    <mergeCell ref="N693:O693"/>
    <mergeCell ref="F689:I691"/>
    <mergeCell ref="K689:L689"/>
    <mergeCell ref="N689:O689"/>
    <mergeCell ref="K690:L690"/>
    <mergeCell ref="N690:O690"/>
    <mergeCell ref="K691:L691"/>
    <mergeCell ref="N691:O691"/>
    <mergeCell ref="F701:I703"/>
    <mergeCell ref="K701:L701"/>
    <mergeCell ref="N701:O701"/>
    <mergeCell ref="K702:L702"/>
    <mergeCell ref="N702:O702"/>
    <mergeCell ref="K703:L703"/>
    <mergeCell ref="N703:O703"/>
    <mergeCell ref="F696:I700"/>
    <mergeCell ref="K696:L696"/>
    <mergeCell ref="N696:O696"/>
    <mergeCell ref="K697:L697"/>
    <mergeCell ref="N697:O697"/>
    <mergeCell ref="K698:L698"/>
    <mergeCell ref="N698:O698"/>
    <mergeCell ref="K699:L699"/>
    <mergeCell ref="N699:O699"/>
    <mergeCell ref="K700:L700"/>
    <mergeCell ref="N700:O700"/>
    <mergeCell ref="F707:I711"/>
    <mergeCell ref="K707:L707"/>
    <mergeCell ref="N707:O707"/>
    <mergeCell ref="K708:L708"/>
    <mergeCell ref="N708:O708"/>
    <mergeCell ref="K709:L709"/>
    <mergeCell ref="N709:O709"/>
    <mergeCell ref="K710:L710"/>
    <mergeCell ref="N710:O710"/>
    <mergeCell ref="K711:L711"/>
    <mergeCell ref="N711:O711"/>
    <mergeCell ref="F704:I706"/>
    <mergeCell ref="K704:L704"/>
    <mergeCell ref="N704:O704"/>
    <mergeCell ref="K705:L705"/>
    <mergeCell ref="N705:O705"/>
    <mergeCell ref="K706:L706"/>
    <mergeCell ref="N706:O706"/>
    <mergeCell ref="F717:I722"/>
    <mergeCell ref="K717:L717"/>
    <mergeCell ref="N717:O717"/>
    <mergeCell ref="K718:L718"/>
    <mergeCell ref="N718:O718"/>
    <mergeCell ref="K719:L719"/>
    <mergeCell ref="N719:O719"/>
    <mergeCell ref="K720:L720"/>
    <mergeCell ref="N720:O720"/>
    <mergeCell ref="K721:L721"/>
    <mergeCell ref="N721:O721"/>
    <mergeCell ref="K722:L722"/>
    <mergeCell ref="N722:O722"/>
    <mergeCell ref="F712:I716"/>
    <mergeCell ref="K712:L712"/>
    <mergeCell ref="N712:O712"/>
    <mergeCell ref="K713:L713"/>
    <mergeCell ref="N713:O713"/>
    <mergeCell ref="K714:L714"/>
    <mergeCell ref="N714:O714"/>
    <mergeCell ref="K715:L715"/>
    <mergeCell ref="N715:O715"/>
    <mergeCell ref="K716:L716"/>
    <mergeCell ref="N716:O716"/>
    <mergeCell ref="N730:O730"/>
    <mergeCell ref="K731:L731"/>
    <mergeCell ref="N731:O731"/>
    <mergeCell ref="F732:I739"/>
    <mergeCell ref="K732:L732"/>
    <mergeCell ref="N732:O732"/>
    <mergeCell ref="K733:L733"/>
    <mergeCell ref="N733:O733"/>
    <mergeCell ref="K734:L734"/>
    <mergeCell ref="N734:O734"/>
    <mergeCell ref="K735:L735"/>
    <mergeCell ref="N735:O735"/>
    <mergeCell ref="K736:L736"/>
    <mergeCell ref="N736:O736"/>
    <mergeCell ref="K737:L737"/>
    <mergeCell ref="N737:O737"/>
    <mergeCell ref="F723:I731"/>
    <mergeCell ref="K723:L723"/>
    <mergeCell ref="N723:O723"/>
    <mergeCell ref="K724:L724"/>
    <mergeCell ref="N724:O724"/>
    <mergeCell ref="K725:L725"/>
    <mergeCell ref="N725:O725"/>
    <mergeCell ref="K726:L726"/>
    <mergeCell ref="N726:O726"/>
    <mergeCell ref="K727:L727"/>
    <mergeCell ref="N727:O727"/>
    <mergeCell ref="K728:L728"/>
    <mergeCell ref="N728:O728"/>
    <mergeCell ref="K729:L729"/>
    <mergeCell ref="N729:O729"/>
    <mergeCell ref="K730:L730"/>
    <mergeCell ref="N745:O745"/>
    <mergeCell ref="F746:I750"/>
    <mergeCell ref="K746:L746"/>
    <mergeCell ref="N746:O746"/>
    <mergeCell ref="K747:L747"/>
    <mergeCell ref="N747:O747"/>
    <mergeCell ref="K748:L748"/>
    <mergeCell ref="N748:O748"/>
    <mergeCell ref="K749:L749"/>
    <mergeCell ref="N749:O749"/>
    <mergeCell ref="K750:L750"/>
    <mergeCell ref="N750:O750"/>
    <mergeCell ref="K738:L738"/>
    <mergeCell ref="N738:O738"/>
    <mergeCell ref="K739:L739"/>
    <mergeCell ref="N739:O739"/>
    <mergeCell ref="F740:I745"/>
    <mergeCell ref="K740:L740"/>
    <mergeCell ref="N740:O740"/>
    <mergeCell ref="K741:L741"/>
    <mergeCell ref="N741:O741"/>
    <mergeCell ref="K742:L742"/>
    <mergeCell ref="N742:O742"/>
    <mergeCell ref="K743:L743"/>
    <mergeCell ref="N743:O743"/>
    <mergeCell ref="K744:L744"/>
    <mergeCell ref="N744:O744"/>
    <mergeCell ref="K745:L745"/>
    <mergeCell ref="F759:I761"/>
    <mergeCell ref="K759:L759"/>
    <mergeCell ref="N759:O759"/>
    <mergeCell ref="K760:L760"/>
    <mergeCell ref="N760:O760"/>
    <mergeCell ref="K761:L761"/>
    <mergeCell ref="N761:O761"/>
    <mergeCell ref="F756:I758"/>
    <mergeCell ref="K756:L756"/>
    <mergeCell ref="N756:O756"/>
    <mergeCell ref="K757:L757"/>
    <mergeCell ref="N757:O757"/>
    <mergeCell ref="K758:L758"/>
    <mergeCell ref="N758:O758"/>
    <mergeCell ref="F751:I755"/>
    <mergeCell ref="K751:L751"/>
    <mergeCell ref="N751:O751"/>
    <mergeCell ref="K752:L752"/>
    <mergeCell ref="N752:O752"/>
    <mergeCell ref="K753:L753"/>
    <mergeCell ref="N753:O753"/>
    <mergeCell ref="K754:L754"/>
    <mergeCell ref="N754:O754"/>
    <mergeCell ref="K755:L755"/>
    <mergeCell ref="N755:O755"/>
    <mergeCell ref="F765:I769"/>
    <mergeCell ref="K765:L765"/>
    <mergeCell ref="N765:O765"/>
    <mergeCell ref="K766:L766"/>
    <mergeCell ref="N766:O766"/>
    <mergeCell ref="K767:L767"/>
    <mergeCell ref="N767:O767"/>
    <mergeCell ref="K768:L768"/>
    <mergeCell ref="N768:O768"/>
    <mergeCell ref="K769:L769"/>
    <mergeCell ref="N769:O769"/>
    <mergeCell ref="F762:I764"/>
    <mergeCell ref="K762:L762"/>
    <mergeCell ref="N762:O762"/>
    <mergeCell ref="K763:L763"/>
    <mergeCell ref="N763:O763"/>
    <mergeCell ref="K764:L764"/>
    <mergeCell ref="N764:O764"/>
    <mergeCell ref="F775:I776"/>
    <mergeCell ref="K775:L775"/>
    <mergeCell ref="N775:O775"/>
    <mergeCell ref="K776:L776"/>
    <mergeCell ref="N776:O776"/>
    <mergeCell ref="F773:I774"/>
    <mergeCell ref="K773:L773"/>
    <mergeCell ref="N773:O773"/>
    <mergeCell ref="K774:L774"/>
    <mergeCell ref="N774:O774"/>
    <mergeCell ref="F770:I772"/>
    <mergeCell ref="K770:L770"/>
    <mergeCell ref="N770:O770"/>
    <mergeCell ref="K771:L771"/>
    <mergeCell ref="N771:O771"/>
    <mergeCell ref="K772:L772"/>
    <mergeCell ref="N772:O772"/>
    <mergeCell ref="N784:O784"/>
    <mergeCell ref="F785:I790"/>
    <mergeCell ref="K785:L785"/>
    <mergeCell ref="N785:O785"/>
    <mergeCell ref="K786:L786"/>
    <mergeCell ref="N786:O786"/>
    <mergeCell ref="K787:L787"/>
    <mergeCell ref="N787:O787"/>
    <mergeCell ref="K788:L788"/>
    <mergeCell ref="N788:O788"/>
    <mergeCell ref="K789:L789"/>
    <mergeCell ref="N789:O789"/>
    <mergeCell ref="K790:L790"/>
    <mergeCell ref="N790:O790"/>
    <mergeCell ref="F777:I784"/>
    <mergeCell ref="K777:L777"/>
    <mergeCell ref="N777:O777"/>
    <mergeCell ref="K778:L778"/>
    <mergeCell ref="N778:O778"/>
    <mergeCell ref="K779:L779"/>
    <mergeCell ref="N779:O779"/>
    <mergeCell ref="K780:L780"/>
    <mergeCell ref="N780:O780"/>
    <mergeCell ref="K781:L781"/>
    <mergeCell ref="N781:O781"/>
    <mergeCell ref="K782:L782"/>
    <mergeCell ref="N782:O782"/>
    <mergeCell ref="K783:L783"/>
    <mergeCell ref="N783:O783"/>
    <mergeCell ref="K784:L784"/>
    <mergeCell ref="F795:I799"/>
    <mergeCell ref="K795:L795"/>
    <mergeCell ref="N795:O795"/>
    <mergeCell ref="K796:L796"/>
    <mergeCell ref="N796:O796"/>
    <mergeCell ref="K797:L797"/>
    <mergeCell ref="N797:O797"/>
    <mergeCell ref="K798:L798"/>
    <mergeCell ref="N798:O798"/>
    <mergeCell ref="K799:L799"/>
    <mergeCell ref="N799:O799"/>
    <mergeCell ref="F791:I794"/>
    <mergeCell ref="K791:L791"/>
    <mergeCell ref="N791:O791"/>
    <mergeCell ref="K792:L792"/>
    <mergeCell ref="N792:O792"/>
    <mergeCell ref="K793:L793"/>
    <mergeCell ref="N793:O793"/>
    <mergeCell ref="K794:L794"/>
    <mergeCell ref="N794:O794"/>
    <mergeCell ref="F805:I809"/>
    <mergeCell ref="K805:L805"/>
    <mergeCell ref="N805:O805"/>
    <mergeCell ref="K806:L806"/>
    <mergeCell ref="N806:O806"/>
    <mergeCell ref="K807:L807"/>
    <mergeCell ref="N807:O807"/>
    <mergeCell ref="K808:L808"/>
    <mergeCell ref="N808:O808"/>
    <mergeCell ref="K809:L809"/>
    <mergeCell ref="N809:O809"/>
    <mergeCell ref="F800:I804"/>
    <mergeCell ref="K800:L800"/>
    <mergeCell ref="N800:O800"/>
    <mergeCell ref="K801:L801"/>
    <mergeCell ref="N801:O801"/>
    <mergeCell ref="K802:L802"/>
    <mergeCell ref="N802:O802"/>
    <mergeCell ref="K803:L803"/>
    <mergeCell ref="N803:O803"/>
    <mergeCell ref="K804:L804"/>
    <mergeCell ref="N804:O804"/>
    <mergeCell ref="F815:I820"/>
    <mergeCell ref="K815:L815"/>
    <mergeCell ref="N815:O815"/>
    <mergeCell ref="K816:L816"/>
    <mergeCell ref="N816:O816"/>
    <mergeCell ref="K817:L817"/>
    <mergeCell ref="N817:O817"/>
    <mergeCell ref="K818:L818"/>
    <mergeCell ref="N818:O818"/>
    <mergeCell ref="K819:L819"/>
    <mergeCell ref="N819:O819"/>
    <mergeCell ref="K820:L820"/>
    <mergeCell ref="N820:O820"/>
    <mergeCell ref="F810:I814"/>
    <mergeCell ref="K810:L810"/>
    <mergeCell ref="N810:O810"/>
    <mergeCell ref="K811:L811"/>
    <mergeCell ref="N811:O811"/>
    <mergeCell ref="K812:L812"/>
    <mergeCell ref="N812:O812"/>
    <mergeCell ref="K813:L813"/>
    <mergeCell ref="N813:O813"/>
    <mergeCell ref="K814:L814"/>
    <mergeCell ref="N814:O814"/>
    <mergeCell ref="F826:I829"/>
    <mergeCell ref="K826:L826"/>
    <mergeCell ref="N826:O826"/>
    <mergeCell ref="K827:L827"/>
    <mergeCell ref="N827:O827"/>
    <mergeCell ref="K828:L828"/>
    <mergeCell ref="N828:O828"/>
    <mergeCell ref="K829:L829"/>
    <mergeCell ref="N829:O829"/>
    <mergeCell ref="F821:I825"/>
    <mergeCell ref="K821:L821"/>
    <mergeCell ref="N821:O821"/>
    <mergeCell ref="K822:L822"/>
    <mergeCell ref="N822:O822"/>
    <mergeCell ref="K823:L823"/>
    <mergeCell ref="N823:O823"/>
    <mergeCell ref="K824:L824"/>
    <mergeCell ref="N824:O824"/>
    <mergeCell ref="K825:L825"/>
    <mergeCell ref="N825:O825"/>
    <mergeCell ref="F835:I840"/>
    <mergeCell ref="K835:L835"/>
    <mergeCell ref="N835:O835"/>
    <mergeCell ref="K836:L836"/>
    <mergeCell ref="N836:O836"/>
    <mergeCell ref="K837:L837"/>
    <mergeCell ref="N837:O837"/>
    <mergeCell ref="K838:L838"/>
    <mergeCell ref="N838:O838"/>
    <mergeCell ref="K839:L839"/>
    <mergeCell ref="N839:O839"/>
    <mergeCell ref="K840:L840"/>
    <mergeCell ref="N840:O840"/>
    <mergeCell ref="F830:I834"/>
    <mergeCell ref="K830:L830"/>
    <mergeCell ref="N830:O830"/>
    <mergeCell ref="K831:L831"/>
    <mergeCell ref="N831:O831"/>
    <mergeCell ref="K832:L832"/>
    <mergeCell ref="N832:O832"/>
    <mergeCell ref="K833:L833"/>
    <mergeCell ref="N833:O833"/>
    <mergeCell ref="K834:L834"/>
    <mergeCell ref="N834:O834"/>
    <mergeCell ref="F846:I850"/>
    <mergeCell ref="K846:L846"/>
    <mergeCell ref="N846:O846"/>
    <mergeCell ref="K847:L847"/>
    <mergeCell ref="N847:O847"/>
    <mergeCell ref="K848:L848"/>
    <mergeCell ref="N848:O848"/>
    <mergeCell ref="K849:L849"/>
    <mergeCell ref="N849:O849"/>
    <mergeCell ref="K850:L850"/>
    <mergeCell ref="N850:O850"/>
    <mergeCell ref="F841:I845"/>
    <mergeCell ref="K841:L841"/>
    <mergeCell ref="N841:O841"/>
    <mergeCell ref="K842:L842"/>
    <mergeCell ref="N842:O842"/>
    <mergeCell ref="K843:L843"/>
    <mergeCell ref="N843:O843"/>
    <mergeCell ref="K844:L844"/>
    <mergeCell ref="N844:O844"/>
    <mergeCell ref="K845:L845"/>
    <mergeCell ref="N845:O845"/>
    <mergeCell ref="F860:I860"/>
    <mergeCell ref="K860:L860"/>
    <mergeCell ref="N860:O860"/>
    <mergeCell ref="C861:E861"/>
    <mergeCell ref="F861:I861"/>
    <mergeCell ref="K861:L861"/>
    <mergeCell ref="N861:O861"/>
    <mergeCell ref="F856:I859"/>
    <mergeCell ref="K856:L856"/>
    <mergeCell ref="N856:O856"/>
    <mergeCell ref="K857:L857"/>
    <mergeCell ref="N857:O857"/>
    <mergeCell ref="K858:L858"/>
    <mergeCell ref="N858:O858"/>
    <mergeCell ref="K859:L859"/>
    <mergeCell ref="N859:O859"/>
    <mergeCell ref="F851:I855"/>
    <mergeCell ref="K851:L851"/>
    <mergeCell ref="N851:O851"/>
    <mergeCell ref="K852:L852"/>
    <mergeCell ref="N852:O852"/>
    <mergeCell ref="K853:L853"/>
    <mergeCell ref="N853:O853"/>
    <mergeCell ref="K854:L854"/>
    <mergeCell ref="N854:O854"/>
    <mergeCell ref="K855:L855"/>
    <mergeCell ref="N855:O855"/>
    <mergeCell ref="F870:I871"/>
    <mergeCell ref="K870:L870"/>
    <mergeCell ref="N870:O870"/>
    <mergeCell ref="K871:L871"/>
    <mergeCell ref="N871:O871"/>
    <mergeCell ref="C865:E865"/>
    <mergeCell ref="F865:I865"/>
    <mergeCell ref="K865:L865"/>
    <mergeCell ref="N865:O865"/>
    <mergeCell ref="B866:B972"/>
    <mergeCell ref="C866:E916"/>
    <mergeCell ref="F866:I867"/>
    <mergeCell ref="K866:L866"/>
    <mergeCell ref="N866:O866"/>
    <mergeCell ref="K867:L867"/>
    <mergeCell ref="N867:O867"/>
    <mergeCell ref="F868:I869"/>
    <mergeCell ref="K868:L868"/>
    <mergeCell ref="N868:O868"/>
    <mergeCell ref="K869:L869"/>
    <mergeCell ref="N869:O869"/>
    <mergeCell ref="F878:I879"/>
    <mergeCell ref="K878:L878"/>
    <mergeCell ref="N878:O878"/>
    <mergeCell ref="K879:L879"/>
    <mergeCell ref="N879:O879"/>
    <mergeCell ref="F876:I877"/>
    <mergeCell ref="K876:L876"/>
    <mergeCell ref="N876:O876"/>
    <mergeCell ref="K877:L877"/>
    <mergeCell ref="N877:O877"/>
    <mergeCell ref="F874:I875"/>
    <mergeCell ref="K874:L874"/>
    <mergeCell ref="N874:O874"/>
    <mergeCell ref="K875:L875"/>
    <mergeCell ref="N875:O875"/>
    <mergeCell ref="F872:I873"/>
    <mergeCell ref="K872:L872"/>
    <mergeCell ref="N872:O872"/>
    <mergeCell ref="K873:L873"/>
    <mergeCell ref="N873:O873"/>
    <mergeCell ref="F890:I891"/>
    <mergeCell ref="K890:L890"/>
    <mergeCell ref="N890:O890"/>
    <mergeCell ref="K891:L891"/>
    <mergeCell ref="N891:O891"/>
    <mergeCell ref="F888:I889"/>
    <mergeCell ref="K888:L888"/>
    <mergeCell ref="N888:O888"/>
    <mergeCell ref="K889:L889"/>
    <mergeCell ref="N889:O889"/>
    <mergeCell ref="F886:I887"/>
    <mergeCell ref="K886:L886"/>
    <mergeCell ref="N886:O886"/>
    <mergeCell ref="K887:L887"/>
    <mergeCell ref="N887:O887"/>
    <mergeCell ref="F880:I885"/>
    <mergeCell ref="K880:L880"/>
    <mergeCell ref="N880:O880"/>
    <mergeCell ref="K881:L881"/>
    <mergeCell ref="N881:O881"/>
    <mergeCell ref="K882:L882"/>
    <mergeCell ref="N882:O882"/>
    <mergeCell ref="K883:L883"/>
    <mergeCell ref="N883:O883"/>
    <mergeCell ref="K884:L884"/>
    <mergeCell ref="N884:O884"/>
    <mergeCell ref="K885:L885"/>
    <mergeCell ref="N885:O885"/>
    <mergeCell ref="F898:I899"/>
    <mergeCell ref="K898:L898"/>
    <mergeCell ref="N898:O898"/>
    <mergeCell ref="K899:L899"/>
    <mergeCell ref="N899:O899"/>
    <mergeCell ref="F896:I897"/>
    <mergeCell ref="K896:L896"/>
    <mergeCell ref="N896:O896"/>
    <mergeCell ref="K897:L897"/>
    <mergeCell ref="N897:O897"/>
    <mergeCell ref="F894:I895"/>
    <mergeCell ref="K894:L894"/>
    <mergeCell ref="N894:O894"/>
    <mergeCell ref="K895:L895"/>
    <mergeCell ref="N895:O895"/>
    <mergeCell ref="F892:I893"/>
    <mergeCell ref="K892:L892"/>
    <mergeCell ref="N892:O892"/>
    <mergeCell ref="K893:L893"/>
    <mergeCell ref="N893:O893"/>
    <mergeCell ref="F906:I907"/>
    <mergeCell ref="K906:L906"/>
    <mergeCell ref="N906:O906"/>
    <mergeCell ref="K907:L907"/>
    <mergeCell ref="N907:O907"/>
    <mergeCell ref="F904:I905"/>
    <mergeCell ref="K904:L904"/>
    <mergeCell ref="N904:O904"/>
    <mergeCell ref="K905:L905"/>
    <mergeCell ref="N905:O905"/>
    <mergeCell ref="F902:I903"/>
    <mergeCell ref="K902:L902"/>
    <mergeCell ref="N902:O902"/>
    <mergeCell ref="K903:L903"/>
    <mergeCell ref="N903:O903"/>
    <mergeCell ref="F900:I901"/>
    <mergeCell ref="K900:L900"/>
    <mergeCell ref="N900:O900"/>
    <mergeCell ref="K901:L901"/>
    <mergeCell ref="N901:O901"/>
    <mergeCell ref="F914:I915"/>
    <mergeCell ref="K914:L914"/>
    <mergeCell ref="N914:O914"/>
    <mergeCell ref="K915:L915"/>
    <mergeCell ref="N915:O915"/>
    <mergeCell ref="F912:I913"/>
    <mergeCell ref="K912:L912"/>
    <mergeCell ref="N912:O912"/>
    <mergeCell ref="K913:L913"/>
    <mergeCell ref="N913:O913"/>
    <mergeCell ref="F910:I911"/>
    <mergeCell ref="K910:L910"/>
    <mergeCell ref="N910:O910"/>
    <mergeCell ref="K911:L911"/>
    <mergeCell ref="N911:O911"/>
    <mergeCell ref="F908:I909"/>
    <mergeCell ref="K908:L908"/>
    <mergeCell ref="N908:O908"/>
    <mergeCell ref="K909:L909"/>
    <mergeCell ref="N909:O909"/>
    <mergeCell ref="N921:O921"/>
    <mergeCell ref="K922:L922"/>
    <mergeCell ref="N922:O922"/>
    <mergeCell ref="F923:I924"/>
    <mergeCell ref="K923:L923"/>
    <mergeCell ref="N923:O923"/>
    <mergeCell ref="K924:L924"/>
    <mergeCell ref="N924:O924"/>
    <mergeCell ref="F916:I916"/>
    <mergeCell ref="K916:L916"/>
    <mergeCell ref="N916:O916"/>
    <mergeCell ref="C917:E971"/>
    <mergeCell ref="F917:I918"/>
    <mergeCell ref="K917:L917"/>
    <mergeCell ref="N917:O917"/>
    <mergeCell ref="K918:L918"/>
    <mergeCell ref="N918:O918"/>
    <mergeCell ref="F919:I920"/>
    <mergeCell ref="K919:L919"/>
    <mergeCell ref="N919:O919"/>
    <mergeCell ref="K920:L920"/>
    <mergeCell ref="N920:O920"/>
    <mergeCell ref="F921:I922"/>
    <mergeCell ref="K921:L921"/>
    <mergeCell ref="F931:I932"/>
    <mergeCell ref="K931:L931"/>
    <mergeCell ref="N931:O931"/>
    <mergeCell ref="K932:L932"/>
    <mergeCell ref="N932:O932"/>
    <mergeCell ref="F929:I930"/>
    <mergeCell ref="K929:L929"/>
    <mergeCell ref="N929:O929"/>
    <mergeCell ref="K930:L930"/>
    <mergeCell ref="N930:O930"/>
    <mergeCell ref="F927:I928"/>
    <mergeCell ref="K927:L927"/>
    <mergeCell ref="N927:O927"/>
    <mergeCell ref="K928:L928"/>
    <mergeCell ref="N928:O928"/>
    <mergeCell ref="F925:I926"/>
    <mergeCell ref="K925:L925"/>
    <mergeCell ref="N925:O925"/>
    <mergeCell ref="K926:L926"/>
    <mergeCell ref="N926:O926"/>
    <mergeCell ref="F941:I942"/>
    <mergeCell ref="K941:L941"/>
    <mergeCell ref="N941:O941"/>
    <mergeCell ref="K942:L942"/>
    <mergeCell ref="N942:O942"/>
    <mergeCell ref="F939:I940"/>
    <mergeCell ref="K939:L939"/>
    <mergeCell ref="N939:O939"/>
    <mergeCell ref="K940:L940"/>
    <mergeCell ref="N940:O940"/>
    <mergeCell ref="F933:I938"/>
    <mergeCell ref="K933:L933"/>
    <mergeCell ref="N933:O933"/>
    <mergeCell ref="K934:L934"/>
    <mergeCell ref="N934:O934"/>
    <mergeCell ref="K935:L935"/>
    <mergeCell ref="N935:O935"/>
    <mergeCell ref="K936:L936"/>
    <mergeCell ref="N936:O936"/>
    <mergeCell ref="K937:L937"/>
    <mergeCell ref="N937:O937"/>
    <mergeCell ref="K938:L938"/>
    <mergeCell ref="N938:O938"/>
    <mergeCell ref="F949:I950"/>
    <mergeCell ref="K949:L949"/>
    <mergeCell ref="N949:O949"/>
    <mergeCell ref="K950:L950"/>
    <mergeCell ref="N950:O950"/>
    <mergeCell ref="F947:I948"/>
    <mergeCell ref="K947:L947"/>
    <mergeCell ref="N947:O947"/>
    <mergeCell ref="K948:L948"/>
    <mergeCell ref="N948:O948"/>
    <mergeCell ref="F945:I946"/>
    <mergeCell ref="K945:L945"/>
    <mergeCell ref="N945:O945"/>
    <mergeCell ref="K946:L946"/>
    <mergeCell ref="N946:O946"/>
    <mergeCell ref="F943:I944"/>
    <mergeCell ref="K943:L943"/>
    <mergeCell ref="N943:O943"/>
    <mergeCell ref="K944:L944"/>
    <mergeCell ref="N944:O944"/>
    <mergeCell ref="F957:I958"/>
    <mergeCell ref="K957:L957"/>
    <mergeCell ref="N957:O957"/>
    <mergeCell ref="K958:L958"/>
    <mergeCell ref="N958:O958"/>
    <mergeCell ref="F955:I956"/>
    <mergeCell ref="K955:L955"/>
    <mergeCell ref="N955:O955"/>
    <mergeCell ref="K956:L956"/>
    <mergeCell ref="N956:O956"/>
    <mergeCell ref="F953:I954"/>
    <mergeCell ref="K953:L953"/>
    <mergeCell ref="N953:O953"/>
    <mergeCell ref="K954:L954"/>
    <mergeCell ref="N954:O954"/>
    <mergeCell ref="F951:I952"/>
    <mergeCell ref="K951:L951"/>
    <mergeCell ref="N951:O951"/>
    <mergeCell ref="K952:L952"/>
    <mergeCell ref="N952:O952"/>
    <mergeCell ref="F965:I966"/>
    <mergeCell ref="K965:L965"/>
    <mergeCell ref="N965:O965"/>
    <mergeCell ref="K966:L966"/>
    <mergeCell ref="N966:O966"/>
    <mergeCell ref="F963:I964"/>
    <mergeCell ref="K963:L963"/>
    <mergeCell ref="N963:O963"/>
    <mergeCell ref="K964:L964"/>
    <mergeCell ref="N964:O964"/>
    <mergeCell ref="F961:I962"/>
    <mergeCell ref="K961:L961"/>
    <mergeCell ref="N961:O961"/>
    <mergeCell ref="K962:L962"/>
    <mergeCell ref="N962:O962"/>
    <mergeCell ref="F959:I960"/>
    <mergeCell ref="K959:L959"/>
    <mergeCell ref="N959:O959"/>
    <mergeCell ref="K960:L960"/>
    <mergeCell ref="N960:O960"/>
    <mergeCell ref="F971:I971"/>
    <mergeCell ref="K971:L971"/>
    <mergeCell ref="N971:O971"/>
    <mergeCell ref="C972:E972"/>
    <mergeCell ref="F972:I972"/>
    <mergeCell ref="K972:L972"/>
    <mergeCell ref="N972:O972"/>
    <mergeCell ref="F969:I970"/>
    <mergeCell ref="K969:L969"/>
    <mergeCell ref="N969:O969"/>
    <mergeCell ref="K970:L970"/>
    <mergeCell ref="N970:O970"/>
    <mergeCell ref="F967:I968"/>
    <mergeCell ref="K967:L967"/>
    <mergeCell ref="N967:O967"/>
    <mergeCell ref="K968:L968"/>
    <mergeCell ref="N968:O968"/>
    <mergeCell ref="K984:L984"/>
    <mergeCell ref="N984:O984"/>
    <mergeCell ref="K985:L985"/>
    <mergeCell ref="N985:O985"/>
    <mergeCell ref="K986:L986"/>
    <mergeCell ref="N986:O986"/>
    <mergeCell ref="K981:L981"/>
    <mergeCell ref="N981:O981"/>
    <mergeCell ref="K982:L982"/>
    <mergeCell ref="N982:O982"/>
    <mergeCell ref="K983:L983"/>
    <mergeCell ref="N983:O983"/>
    <mergeCell ref="C976:E976"/>
    <mergeCell ref="F976:I976"/>
    <mergeCell ref="K976:L976"/>
    <mergeCell ref="N976:O976"/>
    <mergeCell ref="B977:B1023"/>
    <mergeCell ref="C977:E997"/>
    <mergeCell ref="F977:I978"/>
    <mergeCell ref="K977:L977"/>
    <mergeCell ref="N977:O977"/>
    <mergeCell ref="K978:L978"/>
    <mergeCell ref="N978:O978"/>
    <mergeCell ref="F979:I986"/>
    <mergeCell ref="K979:L979"/>
    <mergeCell ref="N979:O979"/>
    <mergeCell ref="K980:L980"/>
    <mergeCell ref="N980:O980"/>
    <mergeCell ref="K989:L989"/>
    <mergeCell ref="N989:O989"/>
    <mergeCell ref="K990:L990"/>
    <mergeCell ref="N990:O990"/>
    <mergeCell ref="K991:L991"/>
    <mergeCell ref="N991:O991"/>
    <mergeCell ref="K992:L992"/>
    <mergeCell ref="N992:O992"/>
    <mergeCell ref="K993:L993"/>
    <mergeCell ref="N993:O993"/>
    <mergeCell ref="K994:L994"/>
    <mergeCell ref="N994:O994"/>
    <mergeCell ref="K995:L995"/>
    <mergeCell ref="N995:O995"/>
    <mergeCell ref="K996:L996"/>
    <mergeCell ref="F987:I988"/>
    <mergeCell ref="K987:L987"/>
    <mergeCell ref="N987:O987"/>
    <mergeCell ref="K988:L988"/>
    <mergeCell ref="N988:O988"/>
    <mergeCell ref="F1007:I1008"/>
    <mergeCell ref="K1007:L1007"/>
    <mergeCell ref="N1007:O1007"/>
    <mergeCell ref="K1008:L1008"/>
    <mergeCell ref="N1008:O1008"/>
    <mergeCell ref="F1005:I1006"/>
    <mergeCell ref="K1005:L1005"/>
    <mergeCell ref="N1005:O1005"/>
    <mergeCell ref="K1006:L1006"/>
    <mergeCell ref="N1006:O1006"/>
    <mergeCell ref="N1002:O1002"/>
    <mergeCell ref="F1003:I1004"/>
    <mergeCell ref="K1003:L1003"/>
    <mergeCell ref="N1003:O1003"/>
    <mergeCell ref="K1004:L1004"/>
    <mergeCell ref="N1004:O1004"/>
    <mergeCell ref="N996:O996"/>
    <mergeCell ref="F997:I997"/>
    <mergeCell ref="K997:L997"/>
    <mergeCell ref="N997:O997"/>
    <mergeCell ref="F998:I999"/>
    <mergeCell ref="K998:L998"/>
    <mergeCell ref="N998:O998"/>
    <mergeCell ref="K999:L999"/>
    <mergeCell ref="N999:O999"/>
    <mergeCell ref="F1000:I1002"/>
    <mergeCell ref="K1000:L1000"/>
    <mergeCell ref="N1000:O1000"/>
    <mergeCell ref="K1001:L1001"/>
    <mergeCell ref="N1001:O1001"/>
    <mergeCell ref="K1002:L1002"/>
    <mergeCell ref="F989:I996"/>
    <mergeCell ref="F1011:I1016"/>
    <mergeCell ref="K1011:L1011"/>
    <mergeCell ref="N1011:O1011"/>
    <mergeCell ref="K1012:L1012"/>
    <mergeCell ref="N1012:O1012"/>
    <mergeCell ref="K1013:L1013"/>
    <mergeCell ref="N1013:O1013"/>
    <mergeCell ref="K1014:L1014"/>
    <mergeCell ref="N1014:O1014"/>
    <mergeCell ref="K1015:L1015"/>
    <mergeCell ref="N1015:O1015"/>
    <mergeCell ref="K1016:L1016"/>
    <mergeCell ref="N1016:O1016"/>
    <mergeCell ref="F1009:I1010"/>
    <mergeCell ref="K1009:L1009"/>
    <mergeCell ref="N1009:O1009"/>
    <mergeCell ref="K1010:L1010"/>
    <mergeCell ref="N1010:O1010"/>
    <mergeCell ref="F1022:I1022"/>
    <mergeCell ref="K1022:L1022"/>
    <mergeCell ref="N1022:O1022"/>
    <mergeCell ref="C1023:E1023"/>
    <mergeCell ref="F1023:I1023"/>
    <mergeCell ref="K1023:L1023"/>
    <mergeCell ref="N1023:O1023"/>
    <mergeCell ref="F1017:I1021"/>
    <mergeCell ref="K1017:L1017"/>
    <mergeCell ref="N1017:O1017"/>
    <mergeCell ref="K1018:L1018"/>
    <mergeCell ref="N1018:O1018"/>
    <mergeCell ref="K1019:L1019"/>
    <mergeCell ref="N1019:O1019"/>
    <mergeCell ref="K1020:L1020"/>
    <mergeCell ref="N1020:O1020"/>
    <mergeCell ref="K1021:L1021"/>
    <mergeCell ref="N1021:O1021"/>
    <mergeCell ref="C998:E1022"/>
  </mergeCells>
  <phoneticPr fontId="0" type="noConversion"/>
  <printOptions horizontalCentered="1"/>
  <pageMargins left="0.25" right="0.25" top="0.75" bottom="0.75" header="0.3" footer="0.3"/>
  <pageSetup orientation="portrait" r:id="rId3"/>
  <headerFooter alignWithMargins="0">
    <oddFooter>&amp;C&amp;"Times New Roman,Regular"Page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5"/>
  <dimension ref="A1:R188"/>
  <sheetViews>
    <sheetView showGridLines="0" topLeftCell="E142" zoomScaleNormal="100" zoomScaleSheetLayoutView="120" workbookViewId="0">
      <selection activeCell="N152" sqref="N152:R152"/>
    </sheetView>
  </sheetViews>
  <sheetFormatPr defaultColWidth="9.140625" defaultRowHeight="12.75"/>
  <cols>
    <col min="1" max="8" width="9.140625" style="213"/>
    <col min="9" max="9" width="66.85546875" style="213" customWidth="1"/>
    <col min="10" max="10" width="15.140625" style="213" customWidth="1"/>
    <col min="11" max="11" width="9.140625" style="213"/>
    <col min="12" max="12" width="7.28515625" style="213" customWidth="1"/>
    <col min="13" max="13" width="16.5703125" style="213" customWidth="1"/>
    <col min="14" max="14" width="16" style="213" customWidth="1"/>
    <col min="15" max="16" width="9.140625" style="213"/>
    <col min="17" max="17" width="11.42578125" style="213" customWidth="1"/>
    <col min="18" max="18" width="10.85546875" style="213" customWidth="1"/>
    <col min="19" max="16384" width="9.140625" style="213"/>
  </cols>
  <sheetData>
    <row r="1" spans="1:18" s="261" customFormat="1" ht="15">
      <c r="A1" s="262" t="s">
        <v>22</v>
      </c>
      <c r="J1" s="325" t="s">
        <v>23</v>
      </c>
    </row>
    <row r="2" spans="1:18" s="261" customFormat="1" ht="13.5" customHeight="1">
      <c r="A2" s="262"/>
    </row>
    <row r="3" spans="1:18" ht="18.75">
      <c r="A3" s="1059" t="s">
        <v>454</v>
      </c>
      <c r="B3" s="1059"/>
      <c r="C3" s="1059"/>
      <c r="D3" s="1059"/>
      <c r="E3" s="1059"/>
      <c r="F3" s="1059"/>
      <c r="G3" s="1059"/>
      <c r="H3" s="1059"/>
      <c r="I3" s="1059"/>
    </row>
    <row r="5" spans="1:18" ht="54" customHeight="1">
      <c r="A5" s="1060" t="s">
        <v>455</v>
      </c>
      <c r="B5" s="1060"/>
      <c r="C5" s="1060"/>
      <c r="D5" s="1060"/>
      <c r="E5" s="1060"/>
      <c r="F5" s="1060"/>
      <c r="G5" s="1061"/>
      <c r="H5" s="1061"/>
      <c r="I5" s="1061"/>
    </row>
    <row r="6" spans="1:18" ht="160.5" customHeight="1">
      <c r="A6" s="1062" t="s">
        <v>456</v>
      </c>
      <c r="B6" s="1062"/>
      <c r="C6" s="1062"/>
      <c r="D6" s="1062"/>
      <c r="E6" s="1062"/>
      <c r="F6" s="1062"/>
      <c r="G6" s="1063"/>
      <c r="H6" s="1063"/>
      <c r="I6" s="1063"/>
    </row>
    <row r="7" spans="1:18" ht="165" customHeight="1">
      <c r="A7" s="1064" t="s">
        <v>457</v>
      </c>
      <c r="B7" s="1064"/>
      <c r="C7" s="1064"/>
      <c r="D7" s="1064"/>
      <c r="E7" s="1064"/>
      <c r="F7" s="1064"/>
      <c r="G7" s="1064"/>
      <c r="H7" s="1064"/>
      <c r="I7" s="1064"/>
    </row>
    <row r="9" spans="1:18" ht="15">
      <c r="A9" s="491"/>
      <c r="B9" s="1221"/>
      <c r="C9" s="1221"/>
      <c r="D9" s="491"/>
      <c r="E9" s="491"/>
      <c r="F9" s="491"/>
      <c r="G9" s="491"/>
      <c r="H9" s="491"/>
      <c r="I9" s="491"/>
      <c r="J9" s="491"/>
      <c r="K9" s="491"/>
      <c r="L9" s="1014" t="s">
        <v>458</v>
      </c>
      <c r="M9" s="1014"/>
      <c r="N9" s="1014"/>
      <c r="O9" s="1014"/>
      <c r="P9" s="1014"/>
      <c r="Q9" s="1014"/>
      <c r="R9" s="1014"/>
    </row>
    <row r="10" spans="1:18" ht="23.25" customHeight="1">
      <c r="A10" s="491"/>
      <c r="B10" s="491"/>
      <c r="C10" s="491"/>
      <c r="D10" s="491"/>
      <c r="E10" s="491"/>
      <c r="F10" s="491"/>
      <c r="G10" s="491"/>
      <c r="H10" s="491"/>
      <c r="I10" s="491"/>
      <c r="J10" s="491"/>
      <c r="K10" s="491"/>
      <c r="L10" s="1014"/>
      <c r="M10" s="1014"/>
      <c r="N10" s="1014"/>
      <c r="O10" s="1014"/>
      <c r="P10" s="1014"/>
      <c r="Q10" s="1014"/>
      <c r="R10" s="1014"/>
    </row>
    <row r="11" spans="1:18" ht="12.75" customHeight="1">
      <c r="A11" s="491"/>
      <c r="B11" s="1014" t="s">
        <v>459</v>
      </c>
      <c r="C11" s="1014"/>
      <c r="D11" s="1014"/>
      <c r="E11" s="1014"/>
      <c r="F11" s="491"/>
      <c r="G11" s="1014" t="s">
        <v>460</v>
      </c>
      <c r="H11" s="1014"/>
      <c r="I11" s="491"/>
      <c r="J11" s="491"/>
      <c r="K11" s="491"/>
      <c r="L11" s="1014"/>
      <c r="M11" s="1014"/>
      <c r="N11" s="1014"/>
      <c r="O11" s="1014"/>
      <c r="P11" s="1014"/>
      <c r="Q11" s="1014"/>
      <c r="R11" s="1014"/>
    </row>
    <row r="12" spans="1:18" ht="15">
      <c r="A12" s="491"/>
      <c r="B12" s="491"/>
      <c r="C12" s="491"/>
      <c r="D12" s="491"/>
      <c r="E12" s="491"/>
      <c r="F12" s="491"/>
      <c r="G12" s="491"/>
      <c r="H12" s="491"/>
      <c r="I12" s="491"/>
      <c r="J12" s="491"/>
      <c r="K12" s="491"/>
      <c r="L12" s="491"/>
      <c r="M12" s="491"/>
      <c r="N12" s="491"/>
      <c r="O12" s="491"/>
      <c r="P12" s="491"/>
      <c r="Q12" s="491"/>
      <c r="R12" s="491"/>
    </row>
    <row r="13" spans="1:18" s="503" customFormat="1" ht="73.5" customHeight="1">
      <c r="A13" s="502"/>
      <c r="B13" s="492" t="s">
        <v>127</v>
      </c>
      <c r="C13" s="1005" t="s">
        <v>413</v>
      </c>
      <c r="D13" s="1006"/>
      <c r="E13" s="1005" t="s">
        <v>130</v>
      </c>
      <c r="F13" s="1005"/>
      <c r="G13" s="1006"/>
      <c r="H13" s="1005" t="s">
        <v>131</v>
      </c>
      <c r="I13" s="1006"/>
      <c r="J13" s="493" t="s">
        <v>461</v>
      </c>
      <c r="K13" s="1005" t="s">
        <v>133</v>
      </c>
      <c r="L13" s="1006"/>
      <c r="M13" s="493" t="s">
        <v>462</v>
      </c>
      <c r="N13" s="493" t="s">
        <v>463</v>
      </c>
      <c r="O13" s="1005" t="s">
        <v>464</v>
      </c>
      <c r="P13" s="1006"/>
      <c r="Q13" s="493" t="s">
        <v>465</v>
      </c>
      <c r="R13" s="493" t="s">
        <v>466</v>
      </c>
    </row>
    <row r="14" spans="1:18" ht="12.75" customHeight="1">
      <c r="A14" s="491"/>
      <c r="B14" s="1065">
        <v>5</v>
      </c>
      <c r="C14" s="1068" t="s">
        <v>126</v>
      </c>
      <c r="D14" s="1069"/>
      <c r="E14" s="975" t="s">
        <v>206</v>
      </c>
      <c r="F14" s="975"/>
      <c r="G14" s="976"/>
      <c r="H14" s="975" t="s">
        <v>207</v>
      </c>
      <c r="I14" s="976"/>
      <c r="J14" s="494" t="s">
        <v>140</v>
      </c>
      <c r="K14" s="977">
        <v>133.51</v>
      </c>
      <c r="L14" s="961"/>
      <c r="M14" s="495">
        <v>134.63999999999999</v>
      </c>
      <c r="N14" s="495">
        <v>132</v>
      </c>
      <c r="O14" s="977">
        <v>156.61000000000001</v>
      </c>
      <c r="P14" s="961"/>
      <c r="Q14" s="495">
        <v>183.62</v>
      </c>
      <c r="R14" s="495">
        <v>146</v>
      </c>
    </row>
    <row r="15" spans="1:18" ht="12.75" customHeight="1">
      <c r="A15" s="491"/>
      <c r="B15" s="1066"/>
      <c r="C15" s="1070"/>
      <c r="D15" s="1071"/>
      <c r="E15" s="975" t="s">
        <v>153</v>
      </c>
      <c r="F15" s="975"/>
      <c r="G15" s="976"/>
      <c r="H15" s="975" t="s">
        <v>154</v>
      </c>
      <c r="I15" s="976"/>
      <c r="J15" s="497">
        <v>311058.78000000003</v>
      </c>
      <c r="K15" s="977">
        <v>52.45</v>
      </c>
      <c r="L15" s="961"/>
      <c r="M15" s="499">
        <v>52.46</v>
      </c>
      <c r="N15" s="499">
        <v>52.43</v>
      </c>
      <c r="O15" s="977">
        <v>52.45</v>
      </c>
      <c r="P15" s="961"/>
      <c r="Q15" s="499">
        <v>52.46</v>
      </c>
      <c r="R15" s="499">
        <v>52.43</v>
      </c>
    </row>
    <row r="16" spans="1:18" ht="12.75" customHeight="1">
      <c r="A16" s="491"/>
      <c r="B16" s="1066"/>
      <c r="C16" s="1070"/>
      <c r="D16" s="1071"/>
      <c r="E16" s="975" t="s">
        <v>172</v>
      </c>
      <c r="F16" s="975"/>
      <c r="G16" s="976"/>
      <c r="H16" s="975" t="s">
        <v>173</v>
      </c>
      <c r="I16" s="976"/>
      <c r="J16" s="496" t="s">
        <v>140</v>
      </c>
      <c r="K16" s="977">
        <v>43.47</v>
      </c>
      <c r="L16" s="961"/>
      <c r="M16" s="499">
        <v>47.25</v>
      </c>
      <c r="N16" s="499">
        <v>40</v>
      </c>
      <c r="O16" s="977">
        <v>59.14</v>
      </c>
      <c r="P16" s="961"/>
      <c r="Q16" s="499">
        <v>90</v>
      </c>
      <c r="R16" s="499">
        <v>44</v>
      </c>
    </row>
    <row r="17" spans="1:18" ht="12.75" customHeight="1">
      <c r="A17" s="491"/>
      <c r="B17" s="1066"/>
      <c r="C17" s="1070"/>
      <c r="D17" s="1071"/>
      <c r="E17" s="975" t="s">
        <v>155</v>
      </c>
      <c r="F17" s="975"/>
      <c r="G17" s="976"/>
      <c r="H17" s="975" t="s">
        <v>156</v>
      </c>
      <c r="I17" s="976"/>
      <c r="J17" s="497">
        <v>764587.23</v>
      </c>
      <c r="K17" s="977">
        <v>78.91</v>
      </c>
      <c r="L17" s="961"/>
      <c r="M17" s="499">
        <v>78.92</v>
      </c>
      <c r="N17" s="499">
        <v>78.900000000000006</v>
      </c>
      <c r="O17" s="977">
        <v>78.91</v>
      </c>
      <c r="P17" s="961"/>
      <c r="Q17" s="499">
        <v>78.92</v>
      </c>
      <c r="R17" s="499">
        <v>78.900000000000006</v>
      </c>
    </row>
    <row r="18" spans="1:18" ht="12.75" customHeight="1">
      <c r="A18" s="491"/>
      <c r="B18" s="1066"/>
      <c r="C18" s="1070"/>
      <c r="D18" s="1071"/>
      <c r="E18" s="975" t="s">
        <v>162</v>
      </c>
      <c r="F18" s="975"/>
      <c r="G18" s="976"/>
      <c r="H18" s="975" t="s">
        <v>163</v>
      </c>
      <c r="I18" s="976"/>
      <c r="J18" s="496" t="s">
        <v>140</v>
      </c>
      <c r="K18" s="977">
        <v>26.87</v>
      </c>
      <c r="L18" s="961"/>
      <c r="M18" s="499">
        <v>27.3</v>
      </c>
      <c r="N18" s="499">
        <v>23.4</v>
      </c>
      <c r="O18" s="977">
        <v>32.31</v>
      </c>
      <c r="P18" s="961"/>
      <c r="Q18" s="499">
        <v>38</v>
      </c>
      <c r="R18" s="499">
        <v>26</v>
      </c>
    </row>
    <row r="19" spans="1:18" ht="12.75" customHeight="1">
      <c r="A19" s="491"/>
      <c r="B19" s="1066"/>
      <c r="C19" s="1070"/>
      <c r="D19" s="1071"/>
      <c r="E19" s="975" t="s">
        <v>185</v>
      </c>
      <c r="F19" s="975"/>
      <c r="G19" s="976"/>
      <c r="H19" s="975" t="s">
        <v>186</v>
      </c>
      <c r="I19" s="976"/>
      <c r="J19" s="496" t="s">
        <v>140</v>
      </c>
      <c r="K19" s="977">
        <v>49.5</v>
      </c>
      <c r="L19" s="961"/>
      <c r="M19" s="499">
        <v>49.5</v>
      </c>
      <c r="N19" s="499">
        <v>49.5</v>
      </c>
      <c r="O19" s="977">
        <v>55</v>
      </c>
      <c r="P19" s="961"/>
      <c r="Q19" s="499">
        <v>55</v>
      </c>
      <c r="R19" s="499">
        <v>55</v>
      </c>
    </row>
    <row r="20" spans="1:18" ht="12.75" customHeight="1">
      <c r="A20" s="491"/>
      <c r="B20" s="1066"/>
      <c r="C20" s="1070"/>
      <c r="D20" s="1071"/>
      <c r="E20" s="975" t="s">
        <v>138</v>
      </c>
      <c r="F20" s="975"/>
      <c r="G20" s="976"/>
      <c r="H20" s="975" t="s">
        <v>139</v>
      </c>
      <c r="I20" s="976"/>
      <c r="J20" s="496" t="s">
        <v>140</v>
      </c>
      <c r="K20" s="977">
        <v>1</v>
      </c>
      <c r="L20" s="961"/>
      <c r="M20" s="499">
        <v>1.03</v>
      </c>
      <c r="N20" s="499">
        <v>0.97</v>
      </c>
      <c r="O20" s="977">
        <v>1.26</v>
      </c>
      <c r="P20" s="961"/>
      <c r="Q20" s="499">
        <v>1.33</v>
      </c>
      <c r="R20" s="499">
        <v>1.17</v>
      </c>
    </row>
    <row r="21" spans="1:18" ht="12.75" customHeight="1">
      <c r="A21" s="491"/>
      <c r="B21" s="1066"/>
      <c r="C21" s="1070"/>
      <c r="D21" s="1071"/>
      <c r="E21" s="975" t="s">
        <v>174</v>
      </c>
      <c r="F21" s="975"/>
      <c r="G21" s="976"/>
      <c r="H21" s="975" t="s">
        <v>175</v>
      </c>
      <c r="I21" s="976"/>
      <c r="J21" s="496" t="s">
        <v>140</v>
      </c>
      <c r="K21" s="977">
        <v>48.36</v>
      </c>
      <c r="L21" s="961"/>
      <c r="M21" s="499">
        <v>54.49</v>
      </c>
      <c r="N21" s="499">
        <v>42.5</v>
      </c>
      <c r="O21" s="977">
        <v>63.67</v>
      </c>
      <c r="P21" s="961"/>
      <c r="Q21" s="499">
        <v>90</v>
      </c>
      <c r="R21" s="499">
        <v>47</v>
      </c>
    </row>
    <row r="22" spans="1:18" ht="12.75" customHeight="1">
      <c r="A22" s="491"/>
      <c r="B22" s="1066"/>
      <c r="C22" s="1070"/>
      <c r="D22" s="1071"/>
      <c r="E22" s="975" t="s">
        <v>188</v>
      </c>
      <c r="F22" s="975"/>
      <c r="G22" s="976"/>
      <c r="H22" s="975" t="s">
        <v>189</v>
      </c>
      <c r="I22" s="976"/>
      <c r="J22" s="496" t="s">
        <v>140</v>
      </c>
      <c r="K22" s="977">
        <v>7.66</v>
      </c>
      <c r="L22" s="961"/>
      <c r="M22" s="499">
        <v>7.66</v>
      </c>
      <c r="N22" s="499">
        <v>7.66</v>
      </c>
      <c r="O22" s="977">
        <v>8.33</v>
      </c>
      <c r="P22" s="961"/>
      <c r="Q22" s="499">
        <v>9</v>
      </c>
      <c r="R22" s="499">
        <v>7.66</v>
      </c>
    </row>
    <row r="23" spans="1:18" ht="12.75" customHeight="1">
      <c r="A23" s="491"/>
      <c r="B23" s="1066"/>
      <c r="C23" s="1070"/>
      <c r="D23" s="1071"/>
      <c r="E23" s="975" t="s">
        <v>190</v>
      </c>
      <c r="F23" s="975"/>
      <c r="G23" s="976"/>
      <c r="H23" s="975" t="s">
        <v>191</v>
      </c>
      <c r="I23" s="976"/>
      <c r="J23" s="496" t="s">
        <v>140</v>
      </c>
      <c r="K23" s="977">
        <v>7.66</v>
      </c>
      <c r="L23" s="961"/>
      <c r="M23" s="499">
        <v>7.66</v>
      </c>
      <c r="N23" s="499">
        <v>7.66</v>
      </c>
      <c r="O23" s="977">
        <v>8.33</v>
      </c>
      <c r="P23" s="961"/>
      <c r="Q23" s="499">
        <v>9</v>
      </c>
      <c r="R23" s="499">
        <v>7.66</v>
      </c>
    </row>
    <row r="24" spans="1:18" ht="12.75" customHeight="1">
      <c r="A24" s="491"/>
      <c r="B24" s="1066"/>
      <c r="C24" s="1070"/>
      <c r="D24" s="1071"/>
      <c r="E24" s="975" t="s">
        <v>176</v>
      </c>
      <c r="F24" s="975"/>
      <c r="G24" s="976"/>
      <c r="H24" s="975" t="s">
        <v>177</v>
      </c>
      <c r="I24" s="976"/>
      <c r="J24" s="496" t="s">
        <v>140</v>
      </c>
      <c r="K24" s="977">
        <v>27.13</v>
      </c>
      <c r="L24" s="961"/>
      <c r="M24" s="499">
        <v>29.4</v>
      </c>
      <c r="N24" s="499">
        <v>26</v>
      </c>
      <c r="O24" s="977">
        <v>32.67</v>
      </c>
      <c r="P24" s="961"/>
      <c r="Q24" s="499">
        <v>40</v>
      </c>
      <c r="R24" s="499">
        <v>29</v>
      </c>
    </row>
    <row r="25" spans="1:18" ht="12.75" customHeight="1">
      <c r="A25" s="491"/>
      <c r="B25" s="1066"/>
      <c r="C25" s="1070"/>
      <c r="D25" s="1071"/>
      <c r="E25" s="975" t="s">
        <v>231</v>
      </c>
      <c r="F25" s="975"/>
      <c r="G25" s="976"/>
      <c r="H25" s="975" t="s">
        <v>232</v>
      </c>
      <c r="I25" s="976"/>
      <c r="J25" s="496" t="s">
        <v>140</v>
      </c>
      <c r="K25" s="977">
        <v>90.51</v>
      </c>
      <c r="L25" s="961"/>
      <c r="M25" s="499">
        <v>93.97</v>
      </c>
      <c r="N25" s="499">
        <v>85.33</v>
      </c>
      <c r="O25" s="977">
        <v>114</v>
      </c>
      <c r="P25" s="961"/>
      <c r="Q25" s="499">
        <v>173.25</v>
      </c>
      <c r="R25" s="499">
        <v>95</v>
      </c>
    </row>
    <row r="26" spans="1:18" ht="12.75" customHeight="1">
      <c r="A26" s="491"/>
      <c r="B26" s="1066"/>
      <c r="C26" s="1070"/>
      <c r="D26" s="1071"/>
      <c r="E26" s="975" t="s">
        <v>192</v>
      </c>
      <c r="F26" s="975"/>
      <c r="G26" s="976"/>
      <c r="H26" s="975" t="s">
        <v>193</v>
      </c>
      <c r="I26" s="976"/>
      <c r="J26" s="496" t="s">
        <v>140</v>
      </c>
      <c r="K26" s="977">
        <v>7.84</v>
      </c>
      <c r="L26" s="961"/>
      <c r="M26" s="499">
        <v>7.9</v>
      </c>
      <c r="N26" s="499">
        <v>7.77</v>
      </c>
      <c r="O26" s="977">
        <v>11.67</v>
      </c>
      <c r="P26" s="961"/>
      <c r="Q26" s="499">
        <v>14.95</v>
      </c>
      <c r="R26" s="499">
        <v>7.77</v>
      </c>
    </row>
    <row r="27" spans="1:18" ht="12.75" customHeight="1">
      <c r="A27" s="491"/>
      <c r="B27" s="1066"/>
      <c r="C27" s="1070"/>
      <c r="D27" s="1071"/>
      <c r="E27" s="975" t="s">
        <v>194</v>
      </c>
      <c r="F27" s="975"/>
      <c r="G27" s="976"/>
      <c r="H27" s="975" t="s">
        <v>195</v>
      </c>
      <c r="I27" s="976"/>
      <c r="J27" s="496" t="s">
        <v>140</v>
      </c>
      <c r="K27" s="977">
        <v>7.84</v>
      </c>
      <c r="L27" s="961"/>
      <c r="M27" s="499">
        <v>7.9</v>
      </c>
      <c r="N27" s="499">
        <v>7.77</v>
      </c>
      <c r="O27" s="977">
        <v>11.67</v>
      </c>
      <c r="P27" s="961"/>
      <c r="Q27" s="499">
        <v>14.95</v>
      </c>
      <c r="R27" s="499">
        <v>7.77</v>
      </c>
    </row>
    <row r="28" spans="1:18" ht="12.75" customHeight="1">
      <c r="A28" s="491"/>
      <c r="B28" s="1066"/>
      <c r="C28" s="1070"/>
      <c r="D28" s="1071"/>
      <c r="E28" s="975" t="s">
        <v>164</v>
      </c>
      <c r="F28" s="975"/>
      <c r="G28" s="976"/>
      <c r="H28" s="975" t="s">
        <v>165</v>
      </c>
      <c r="I28" s="976"/>
      <c r="J28" s="496" t="s">
        <v>140</v>
      </c>
      <c r="K28" s="977">
        <v>26.9</v>
      </c>
      <c r="L28" s="961"/>
      <c r="M28" s="499">
        <v>27.3</v>
      </c>
      <c r="N28" s="499">
        <v>24.3</v>
      </c>
      <c r="O28" s="977">
        <v>32.270000000000003</v>
      </c>
      <c r="P28" s="961"/>
      <c r="Q28" s="499">
        <v>38</v>
      </c>
      <c r="R28" s="499">
        <v>26</v>
      </c>
    </row>
    <row r="29" spans="1:18" ht="12.75" customHeight="1">
      <c r="A29" s="491"/>
      <c r="B29" s="1066"/>
      <c r="C29" s="1070"/>
      <c r="D29" s="1071"/>
      <c r="E29" s="975" t="s">
        <v>178</v>
      </c>
      <c r="F29" s="975"/>
      <c r="G29" s="976"/>
      <c r="H29" s="975" t="s">
        <v>179</v>
      </c>
      <c r="I29" s="976"/>
      <c r="J29" s="496" t="s">
        <v>140</v>
      </c>
      <c r="K29" s="977">
        <v>60.41</v>
      </c>
      <c r="L29" s="961"/>
      <c r="M29" s="499">
        <v>62.47</v>
      </c>
      <c r="N29" s="499">
        <v>54</v>
      </c>
      <c r="O29" s="977">
        <v>85.26</v>
      </c>
      <c r="P29" s="961"/>
      <c r="Q29" s="499">
        <v>169</v>
      </c>
      <c r="R29" s="499">
        <v>60</v>
      </c>
    </row>
    <row r="30" spans="1:18" ht="12.75" customHeight="1">
      <c r="A30" s="491"/>
      <c r="B30" s="1066"/>
      <c r="C30" s="1070"/>
      <c r="D30" s="1071"/>
      <c r="E30" s="975" t="s">
        <v>213</v>
      </c>
      <c r="F30" s="975"/>
      <c r="G30" s="976"/>
      <c r="H30" s="975" t="s">
        <v>214</v>
      </c>
      <c r="I30" s="976"/>
      <c r="J30" s="496" t="s">
        <v>140</v>
      </c>
      <c r="K30" s="977">
        <v>0</v>
      </c>
      <c r="L30" s="961"/>
      <c r="M30" s="499">
        <v>0</v>
      </c>
      <c r="N30" s="499">
        <v>0</v>
      </c>
      <c r="O30" s="977">
        <v>0</v>
      </c>
      <c r="P30" s="961"/>
      <c r="Q30" s="499">
        <v>0</v>
      </c>
      <c r="R30" s="499">
        <v>0</v>
      </c>
    </row>
    <row r="31" spans="1:18" ht="12.75" customHeight="1">
      <c r="A31" s="491"/>
      <c r="B31" s="1066"/>
      <c r="C31" s="1070"/>
      <c r="D31" s="1071"/>
      <c r="E31" s="975" t="s">
        <v>225</v>
      </c>
      <c r="F31" s="975"/>
      <c r="G31" s="976"/>
      <c r="H31" s="975" t="s">
        <v>226</v>
      </c>
      <c r="I31" s="976"/>
      <c r="J31" s="497">
        <v>285460</v>
      </c>
      <c r="K31" s="977">
        <v>131.9</v>
      </c>
      <c r="L31" s="961"/>
      <c r="M31" s="499">
        <v>131.9</v>
      </c>
      <c r="N31" s="499">
        <v>131.9</v>
      </c>
      <c r="O31" s="977">
        <v>131.9</v>
      </c>
      <c r="P31" s="961"/>
      <c r="Q31" s="499">
        <v>131.9</v>
      </c>
      <c r="R31" s="499">
        <v>131.9</v>
      </c>
    </row>
    <row r="32" spans="1:18" ht="12.75" customHeight="1">
      <c r="A32" s="491"/>
      <c r="B32" s="1066"/>
      <c r="C32" s="1070"/>
      <c r="D32" s="1071"/>
      <c r="E32" s="975" t="s">
        <v>215</v>
      </c>
      <c r="F32" s="975"/>
      <c r="G32" s="976"/>
      <c r="H32" s="975" t="s">
        <v>216</v>
      </c>
      <c r="I32" s="976"/>
      <c r="J32" s="496" t="s">
        <v>140</v>
      </c>
      <c r="K32" s="977">
        <v>0</v>
      </c>
      <c r="L32" s="961"/>
      <c r="M32" s="499">
        <v>0</v>
      </c>
      <c r="N32" s="499">
        <v>0</v>
      </c>
      <c r="O32" s="977">
        <v>0</v>
      </c>
      <c r="P32" s="961"/>
      <c r="Q32" s="499">
        <v>0</v>
      </c>
      <c r="R32" s="499">
        <v>0</v>
      </c>
    </row>
    <row r="33" spans="1:18" ht="12.75" customHeight="1">
      <c r="A33" s="491"/>
      <c r="B33" s="1066"/>
      <c r="C33" s="1070"/>
      <c r="D33" s="1071"/>
      <c r="E33" s="975" t="s">
        <v>158</v>
      </c>
      <c r="F33" s="975"/>
      <c r="G33" s="976"/>
      <c r="H33" s="975" t="s">
        <v>159</v>
      </c>
      <c r="I33" s="976"/>
      <c r="J33" s="496" t="s">
        <v>140</v>
      </c>
      <c r="K33" s="977">
        <v>88.9</v>
      </c>
      <c r="L33" s="961"/>
      <c r="M33" s="499">
        <v>94.5</v>
      </c>
      <c r="N33" s="499">
        <v>86.1</v>
      </c>
      <c r="O33" s="977">
        <v>127.35</v>
      </c>
      <c r="P33" s="961"/>
      <c r="Q33" s="499">
        <v>173.25</v>
      </c>
      <c r="R33" s="499">
        <v>95</v>
      </c>
    </row>
    <row r="34" spans="1:18" ht="12.75" customHeight="1">
      <c r="A34" s="491"/>
      <c r="B34" s="1066"/>
      <c r="C34" s="1070"/>
      <c r="D34" s="1071"/>
      <c r="E34" s="975" t="s">
        <v>258</v>
      </c>
      <c r="F34" s="975"/>
      <c r="G34" s="976"/>
      <c r="H34" s="975" t="s">
        <v>259</v>
      </c>
      <c r="I34" s="976"/>
      <c r="J34" s="496" t="s">
        <v>140</v>
      </c>
      <c r="K34" s="977">
        <v>65.290000000000006</v>
      </c>
      <c r="L34" s="961"/>
      <c r="M34" s="499">
        <v>68.13</v>
      </c>
      <c r="N34" s="499">
        <v>62.45</v>
      </c>
      <c r="O34" s="977">
        <v>72</v>
      </c>
      <c r="P34" s="961"/>
      <c r="Q34" s="499">
        <v>75</v>
      </c>
      <c r="R34" s="499">
        <v>69</v>
      </c>
    </row>
    <row r="35" spans="1:18" ht="12.75" customHeight="1">
      <c r="A35" s="491"/>
      <c r="B35" s="1066"/>
      <c r="C35" s="1070"/>
      <c r="D35" s="1071"/>
      <c r="E35" s="975" t="s">
        <v>144</v>
      </c>
      <c r="F35" s="975"/>
      <c r="G35" s="976"/>
      <c r="H35" s="975" t="s">
        <v>145</v>
      </c>
      <c r="I35" s="976"/>
      <c r="J35" s="496" t="s">
        <v>140</v>
      </c>
      <c r="K35" s="977">
        <v>0</v>
      </c>
      <c r="L35" s="961"/>
      <c r="M35" s="499">
        <v>0</v>
      </c>
      <c r="N35" s="499">
        <v>0</v>
      </c>
      <c r="O35" s="977">
        <v>0</v>
      </c>
      <c r="P35" s="961"/>
      <c r="Q35" s="499">
        <v>0</v>
      </c>
      <c r="R35" s="499">
        <v>0</v>
      </c>
    </row>
    <row r="36" spans="1:18" ht="12.75" customHeight="1">
      <c r="A36" s="491"/>
      <c r="B36" s="1066"/>
      <c r="C36" s="1070"/>
      <c r="D36" s="1071"/>
      <c r="E36" s="975" t="s">
        <v>166</v>
      </c>
      <c r="F36" s="975"/>
      <c r="G36" s="976"/>
      <c r="H36" s="975" t="s">
        <v>167</v>
      </c>
      <c r="I36" s="976"/>
      <c r="J36" s="496" t="s">
        <v>140</v>
      </c>
      <c r="K36" s="977">
        <v>29.32</v>
      </c>
      <c r="L36" s="961"/>
      <c r="M36" s="499">
        <v>29.92</v>
      </c>
      <c r="N36" s="499">
        <v>26</v>
      </c>
      <c r="O36" s="977">
        <v>33.83</v>
      </c>
      <c r="P36" s="961"/>
      <c r="Q36" s="499">
        <v>40</v>
      </c>
      <c r="R36" s="499">
        <v>27</v>
      </c>
    </row>
    <row r="37" spans="1:18" ht="12.75" customHeight="1">
      <c r="A37" s="491"/>
      <c r="B37" s="1066"/>
      <c r="C37" s="1070"/>
      <c r="D37" s="1071"/>
      <c r="E37" s="975" t="s">
        <v>146</v>
      </c>
      <c r="F37" s="975"/>
      <c r="G37" s="976"/>
      <c r="H37" s="975" t="s">
        <v>147</v>
      </c>
      <c r="I37" s="976"/>
      <c r="J37" s="496" t="s">
        <v>140</v>
      </c>
      <c r="K37" s="977">
        <v>90.4</v>
      </c>
      <c r="L37" s="961"/>
      <c r="M37" s="499">
        <v>96.59</v>
      </c>
      <c r="N37" s="499">
        <v>84.2</v>
      </c>
      <c r="O37" s="977">
        <v>121.95</v>
      </c>
      <c r="P37" s="961"/>
      <c r="Q37" s="499">
        <v>150</v>
      </c>
      <c r="R37" s="499">
        <v>93.9</v>
      </c>
    </row>
    <row r="38" spans="1:18" ht="12.75" customHeight="1">
      <c r="A38" s="491"/>
      <c r="B38" s="1066"/>
      <c r="C38" s="1070"/>
      <c r="D38" s="1071"/>
      <c r="E38" s="975" t="s">
        <v>148</v>
      </c>
      <c r="F38" s="975"/>
      <c r="G38" s="976"/>
      <c r="H38" s="975" t="s">
        <v>149</v>
      </c>
      <c r="I38" s="976"/>
      <c r="J38" s="496" t="s">
        <v>140</v>
      </c>
      <c r="K38" s="977">
        <v>69.239999999999995</v>
      </c>
      <c r="L38" s="961"/>
      <c r="M38" s="499">
        <v>74.28</v>
      </c>
      <c r="N38" s="499">
        <v>64.2</v>
      </c>
      <c r="O38" s="977">
        <v>114.3</v>
      </c>
      <c r="P38" s="961"/>
      <c r="Q38" s="499">
        <v>150</v>
      </c>
      <c r="R38" s="499">
        <v>78.599999999999994</v>
      </c>
    </row>
    <row r="39" spans="1:18" ht="12.75" customHeight="1">
      <c r="A39" s="491"/>
      <c r="B39" s="1066"/>
      <c r="C39" s="1070"/>
      <c r="D39" s="1071"/>
      <c r="E39" s="975" t="s">
        <v>208</v>
      </c>
      <c r="F39" s="975"/>
      <c r="G39" s="976"/>
      <c r="H39" s="975" t="s">
        <v>209</v>
      </c>
      <c r="I39" s="976"/>
      <c r="J39" s="496" t="s">
        <v>140</v>
      </c>
      <c r="K39" s="977">
        <v>16.690000000000001</v>
      </c>
      <c r="L39" s="961"/>
      <c r="M39" s="499">
        <v>16.829999999999998</v>
      </c>
      <c r="N39" s="499">
        <v>16.5</v>
      </c>
      <c r="O39" s="977">
        <v>18.579999999999998</v>
      </c>
      <c r="P39" s="961"/>
      <c r="Q39" s="499">
        <v>20</v>
      </c>
      <c r="R39" s="499">
        <v>16</v>
      </c>
    </row>
    <row r="40" spans="1:18" ht="12.75" customHeight="1">
      <c r="A40" s="491"/>
      <c r="B40" s="1066"/>
      <c r="C40" s="1070"/>
      <c r="D40" s="1071"/>
      <c r="E40" s="975" t="s">
        <v>168</v>
      </c>
      <c r="F40" s="975"/>
      <c r="G40" s="976"/>
      <c r="H40" s="975" t="s">
        <v>169</v>
      </c>
      <c r="I40" s="976"/>
      <c r="J40" s="496" t="s">
        <v>140</v>
      </c>
      <c r="K40" s="977">
        <v>29.32</v>
      </c>
      <c r="L40" s="961"/>
      <c r="M40" s="499">
        <v>29.92</v>
      </c>
      <c r="N40" s="499">
        <v>26</v>
      </c>
      <c r="O40" s="977">
        <v>34.42</v>
      </c>
      <c r="P40" s="961"/>
      <c r="Q40" s="499">
        <v>50</v>
      </c>
      <c r="R40" s="499">
        <v>27</v>
      </c>
    </row>
    <row r="41" spans="1:18" ht="12.75" customHeight="1">
      <c r="A41" s="491"/>
      <c r="B41" s="1066"/>
      <c r="C41" s="1070"/>
      <c r="D41" s="1071"/>
      <c r="E41" s="975" t="s">
        <v>150</v>
      </c>
      <c r="F41" s="975"/>
      <c r="G41" s="976"/>
      <c r="H41" s="975" t="s">
        <v>151</v>
      </c>
      <c r="I41" s="976"/>
      <c r="J41" s="496" t="s">
        <v>140</v>
      </c>
      <c r="K41" s="977">
        <v>92</v>
      </c>
      <c r="L41" s="961"/>
      <c r="M41" s="499">
        <v>92</v>
      </c>
      <c r="N41" s="499">
        <v>92</v>
      </c>
      <c r="O41" s="977">
        <v>112</v>
      </c>
      <c r="P41" s="961"/>
      <c r="Q41" s="499">
        <v>112</v>
      </c>
      <c r="R41" s="499">
        <v>112</v>
      </c>
    </row>
    <row r="42" spans="1:18" ht="12.75" customHeight="1">
      <c r="A42" s="491"/>
      <c r="B42" s="1066"/>
      <c r="C42" s="1070"/>
      <c r="D42" s="1071"/>
      <c r="E42" s="975" t="s">
        <v>219</v>
      </c>
      <c r="F42" s="975"/>
      <c r="G42" s="976"/>
      <c r="H42" s="975" t="s">
        <v>220</v>
      </c>
      <c r="I42" s="976"/>
      <c r="J42" s="496" t="s">
        <v>140</v>
      </c>
      <c r="K42" s="977">
        <v>44.39</v>
      </c>
      <c r="L42" s="961"/>
      <c r="M42" s="499">
        <v>46.72</v>
      </c>
      <c r="N42" s="499">
        <v>39.72</v>
      </c>
      <c r="O42" s="977">
        <v>63.24</v>
      </c>
      <c r="P42" s="961"/>
      <c r="Q42" s="499">
        <v>75</v>
      </c>
      <c r="R42" s="499">
        <v>39.72</v>
      </c>
    </row>
    <row r="43" spans="1:18" ht="12.75" customHeight="1">
      <c r="A43" s="491"/>
      <c r="B43" s="1066"/>
      <c r="C43" s="1070"/>
      <c r="D43" s="1071"/>
      <c r="E43" s="975" t="s">
        <v>221</v>
      </c>
      <c r="F43" s="975"/>
      <c r="G43" s="976"/>
      <c r="H43" s="975" t="s">
        <v>222</v>
      </c>
      <c r="I43" s="976"/>
      <c r="J43" s="496" t="s">
        <v>140</v>
      </c>
      <c r="K43" s="977">
        <v>41.94</v>
      </c>
      <c r="L43" s="961"/>
      <c r="M43" s="499">
        <v>43.05</v>
      </c>
      <c r="N43" s="499">
        <v>39.72</v>
      </c>
      <c r="O43" s="977">
        <v>53.24</v>
      </c>
      <c r="P43" s="961"/>
      <c r="Q43" s="499">
        <v>60</v>
      </c>
      <c r="R43" s="499">
        <v>39.72</v>
      </c>
    </row>
    <row r="44" spans="1:18" ht="12.75" customHeight="1">
      <c r="A44" s="491"/>
      <c r="B44" s="1066"/>
      <c r="C44" s="1070"/>
      <c r="D44" s="1071"/>
      <c r="E44" s="975" t="s">
        <v>254</v>
      </c>
      <c r="F44" s="975"/>
      <c r="G44" s="976"/>
      <c r="H44" s="975" t="s">
        <v>255</v>
      </c>
      <c r="I44" s="976"/>
      <c r="J44" s="496" t="s">
        <v>140</v>
      </c>
      <c r="K44" s="977">
        <v>26.61</v>
      </c>
      <c r="L44" s="961"/>
      <c r="M44" s="499">
        <v>26.61</v>
      </c>
      <c r="N44" s="499">
        <v>26.61</v>
      </c>
      <c r="O44" s="977">
        <v>29.27</v>
      </c>
      <c r="P44" s="961"/>
      <c r="Q44" s="499">
        <v>29.27</v>
      </c>
      <c r="R44" s="499">
        <v>29.27</v>
      </c>
    </row>
    <row r="45" spans="1:18" ht="12.75" customHeight="1">
      <c r="A45" s="491"/>
      <c r="B45" s="1066"/>
      <c r="C45" s="1070"/>
      <c r="D45" s="1071"/>
      <c r="E45" s="975" t="s">
        <v>182</v>
      </c>
      <c r="F45" s="975"/>
      <c r="G45" s="976"/>
      <c r="H45" s="975" t="s">
        <v>183</v>
      </c>
      <c r="I45" s="976"/>
      <c r="J45" s="496" t="s">
        <v>140</v>
      </c>
      <c r="K45" s="977">
        <v>0</v>
      </c>
      <c r="L45" s="961"/>
      <c r="M45" s="499">
        <v>0</v>
      </c>
      <c r="N45" s="499">
        <v>0</v>
      </c>
      <c r="O45" s="977">
        <v>0</v>
      </c>
      <c r="P45" s="961"/>
      <c r="Q45" s="499">
        <v>0</v>
      </c>
      <c r="R45" s="499">
        <v>0</v>
      </c>
    </row>
    <row r="46" spans="1:18" ht="12.75" customHeight="1">
      <c r="A46" s="491"/>
      <c r="B46" s="1066"/>
      <c r="C46" s="1070"/>
      <c r="D46" s="1071"/>
      <c r="E46" s="975" t="s">
        <v>197</v>
      </c>
      <c r="F46" s="975"/>
      <c r="G46" s="976"/>
      <c r="H46" s="975" t="s">
        <v>198</v>
      </c>
      <c r="I46" s="976"/>
      <c r="J46" s="496" t="s">
        <v>140</v>
      </c>
      <c r="K46" s="977">
        <v>29.13</v>
      </c>
      <c r="L46" s="961"/>
      <c r="M46" s="499">
        <v>30.45</v>
      </c>
      <c r="N46" s="499">
        <v>27.81</v>
      </c>
      <c r="O46" s="977">
        <v>29.13</v>
      </c>
      <c r="P46" s="961"/>
      <c r="Q46" s="499">
        <v>30.45</v>
      </c>
      <c r="R46" s="499">
        <v>27.81</v>
      </c>
    </row>
    <row r="47" spans="1:18" ht="12.75" customHeight="1">
      <c r="A47" s="491"/>
      <c r="B47" s="1066"/>
      <c r="C47" s="1070"/>
      <c r="D47" s="1071"/>
      <c r="E47" s="975" t="s">
        <v>227</v>
      </c>
      <c r="F47" s="975"/>
      <c r="G47" s="976"/>
      <c r="H47" s="975" t="s">
        <v>228</v>
      </c>
      <c r="I47" s="976"/>
      <c r="J47" s="497">
        <v>3673342.99</v>
      </c>
      <c r="K47" s="977">
        <v>0</v>
      </c>
      <c r="L47" s="961"/>
      <c r="M47" s="499">
        <v>0</v>
      </c>
      <c r="N47" s="499">
        <v>0</v>
      </c>
      <c r="O47" s="960" t="s">
        <v>140</v>
      </c>
      <c r="P47" s="961"/>
      <c r="Q47" s="498" t="s">
        <v>140</v>
      </c>
      <c r="R47" s="498" t="s">
        <v>140</v>
      </c>
    </row>
    <row r="48" spans="1:18" ht="12.75" customHeight="1">
      <c r="A48" s="491"/>
      <c r="B48" s="1066"/>
      <c r="C48" s="1072"/>
      <c r="D48" s="1073"/>
      <c r="E48" s="958" t="s">
        <v>467</v>
      </c>
      <c r="F48" s="958"/>
      <c r="G48" s="959"/>
      <c r="H48" s="958" t="s">
        <v>140</v>
      </c>
      <c r="I48" s="959"/>
      <c r="J48" s="501">
        <v>5034449</v>
      </c>
      <c r="K48" s="960" t="s">
        <v>140</v>
      </c>
      <c r="L48" s="961"/>
      <c r="M48" s="498" t="s">
        <v>140</v>
      </c>
      <c r="N48" s="498" t="s">
        <v>140</v>
      </c>
      <c r="O48" s="960" t="s">
        <v>140</v>
      </c>
      <c r="P48" s="961"/>
      <c r="Q48" s="498" t="s">
        <v>140</v>
      </c>
      <c r="R48" s="498" t="s">
        <v>140</v>
      </c>
    </row>
    <row r="49" spans="1:18" ht="12.75" customHeight="1">
      <c r="A49" s="491"/>
      <c r="B49" s="1066"/>
      <c r="C49" s="1068" t="s">
        <v>302</v>
      </c>
      <c r="D49" s="1069"/>
      <c r="E49" s="975" t="s">
        <v>206</v>
      </c>
      <c r="F49" s="975"/>
      <c r="G49" s="976"/>
      <c r="H49" s="975" t="s">
        <v>207</v>
      </c>
      <c r="I49" s="976"/>
      <c r="J49" s="496" t="s">
        <v>140</v>
      </c>
      <c r="K49" s="977">
        <v>133.51</v>
      </c>
      <c r="L49" s="961"/>
      <c r="M49" s="499">
        <v>134.63999999999999</v>
      </c>
      <c r="N49" s="499">
        <v>132</v>
      </c>
      <c r="O49" s="977">
        <v>156.61000000000001</v>
      </c>
      <c r="P49" s="961"/>
      <c r="Q49" s="499">
        <v>183.62</v>
      </c>
      <c r="R49" s="499">
        <v>146</v>
      </c>
    </row>
    <row r="50" spans="1:18" ht="12.75" customHeight="1">
      <c r="A50" s="491"/>
      <c r="B50" s="1066"/>
      <c r="C50" s="1070"/>
      <c r="D50" s="1071"/>
      <c r="E50" s="975" t="s">
        <v>153</v>
      </c>
      <c r="F50" s="975"/>
      <c r="G50" s="976"/>
      <c r="H50" s="975" t="s">
        <v>154</v>
      </c>
      <c r="I50" s="976"/>
      <c r="J50" s="497">
        <v>567085.9</v>
      </c>
      <c r="K50" s="977">
        <v>52.45</v>
      </c>
      <c r="L50" s="961"/>
      <c r="M50" s="499">
        <v>52.46</v>
      </c>
      <c r="N50" s="499">
        <v>52.43</v>
      </c>
      <c r="O50" s="977">
        <v>52.45</v>
      </c>
      <c r="P50" s="961"/>
      <c r="Q50" s="499">
        <v>52.46</v>
      </c>
      <c r="R50" s="499">
        <v>52.43</v>
      </c>
    </row>
    <row r="51" spans="1:18" ht="12.75" customHeight="1">
      <c r="A51" s="491"/>
      <c r="B51" s="1066"/>
      <c r="C51" s="1070"/>
      <c r="D51" s="1071"/>
      <c r="E51" s="975" t="s">
        <v>172</v>
      </c>
      <c r="F51" s="975"/>
      <c r="G51" s="976"/>
      <c r="H51" s="975" t="s">
        <v>173</v>
      </c>
      <c r="I51" s="976"/>
      <c r="J51" s="496" t="s">
        <v>140</v>
      </c>
      <c r="K51" s="977">
        <v>43.47</v>
      </c>
      <c r="L51" s="961"/>
      <c r="M51" s="499">
        <v>47.25</v>
      </c>
      <c r="N51" s="499">
        <v>40</v>
      </c>
      <c r="O51" s="977">
        <v>59.14</v>
      </c>
      <c r="P51" s="961"/>
      <c r="Q51" s="499">
        <v>90</v>
      </c>
      <c r="R51" s="499">
        <v>44</v>
      </c>
    </row>
    <row r="52" spans="1:18" ht="12.75" customHeight="1">
      <c r="A52" s="491"/>
      <c r="B52" s="1066"/>
      <c r="C52" s="1070"/>
      <c r="D52" s="1071"/>
      <c r="E52" s="975" t="s">
        <v>155</v>
      </c>
      <c r="F52" s="975"/>
      <c r="G52" s="976"/>
      <c r="H52" s="975" t="s">
        <v>156</v>
      </c>
      <c r="I52" s="976"/>
      <c r="J52" s="497">
        <v>1701891.02</v>
      </c>
      <c r="K52" s="977">
        <v>78.91</v>
      </c>
      <c r="L52" s="961"/>
      <c r="M52" s="499">
        <v>78.92</v>
      </c>
      <c r="N52" s="499">
        <v>78.900000000000006</v>
      </c>
      <c r="O52" s="977">
        <v>78.91</v>
      </c>
      <c r="P52" s="961"/>
      <c r="Q52" s="499">
        <v>78.92</v>
      </c>
      <c r="R52" s="499">
        <v>78.900000000000006</v>
      </c>
    </row>
    <row r="53" spans="1:18" ht="12.75" customHeight="1">
      <c r="A53" s="491"/>
      <c r="B53" s="1066"/>
      <c r="C53" s="1070"/>
      <c r="D53" s="1071"/>
      <c r="E53" s="975" t="s">
        <v>162</v>
      </c>
      <c r="F53" s="975"/>
      <c r="G53" s="976"/>
      <c r="H53" s="975" t="s">
        <v>163</v>
      </c>
      <c r="I53" s="976"/>
      <c r="J53" s="496" t="s">
        <v>140</v>
      </c>
      <c r="K53" s="977">
        <v>26.86</v>
      </c>
      <c r="L53" s="961"/>
      <c r="M53" s="499">
        <v>27.3</v>
      </c>
      <c r="N53" s="499">
        <v>23.4</v>
      </c>
      <c r="O53" s="977">
        <v>32.28</v>
      </c>
      <c r="P53" s="961"/>
      <c r="Q53" s="499">
        <v>38</v>
      </c>
      <c r="R53" s="499">
        <v>26</v>
      </c>
    </row>
    <row r="54" spans="1:18" ht="12.75" customHeight="1">
      <c r="A54" s="491"/>
      <c r="B54" s="1066"/>
      <c r="C54" s="1070"/>
      <c r="D54" s="1071"/>
      <c r="E54" s="975" t="s">
        <v>185</v>
      </c>
      <c r="F54" s="975"/>
      <c r="G54" s="976"/>
      <c r="H54" s="975" t="s">
        <v>186</v>
      </c>
      <c r="I54" s="976"/>
      <c r="J54" s="496" t="s">
        <v>140</v>
      </c>
      <c r="K54" s="977">
        <v>49.5</v>
      </c>
      <c r="L54" s="961"/>
      <c r="M54" s="499">
        <v>49.5</v>
      </c>
      <c r="N54" s="499">
        <v>49.5</v>
      </c>
      <c r="O54" s="977">
        <v>55</v>
      </c>
      <c r="P54" s="961"/>
      <c r="Q54" s="499">
        <v>55</v>
      </c>
      <c r="R54" s="499">
        <v>55</v>
      </c>
    </row>
    <row r="55" spans="1:18" ht="12.75" customHeight="1">
      <c r="A55" s="491"/>
      <c r="B55" s="1066"/>
      <c r="C55" s="1070"/>
      <c r="D55" s="1071"/>
      <c r="E55" s="975" t="s">
        <v>138</v>
      </c>
      <c r="F55" s="975"/>
      <c r="G55" s="976"/>
      <c r="H55" s="975" t="s">
        <v>139</v>
      </c>
      <c r="I55" s="976"/>
      <c r="J55" s="496" t="s">
        <v>140</v>
      </c>
      <c r="K55" s="977">
        <v>1</v>
      </c>
      <c r="L55" s="961"/>
      <c r="M55" s="499">
        <v>1.03</v>
      </c>
      <c r="N55" s="499">
        <v>0.97</v>
      </c>
      <c r="O55" s="977">
        <v>1.26</v>
      </c>
      <c r="P55" s="961"/>
      <c r="Q55" s="499">
        <v>1.33</v>
      </c>
      <c r="R55" s="499">
        <v>1.17</v>
      </c>
    </row>
    <row r="56" spans="1:18" ht="12.75" customHeight="1">
      <c r="A56" s="491"/>
      <c r="B56" s="1066"/>
      <c r="C56" s="1070"/>
      <c r="D56" s="1071"/>
      <c r="E56" s="975" t="s">
        <v>174</v>
      </c>
      <c r="F56" s="975"/>
      <c r="G56" s="976"/>
      <c r="H56" s="975" t="s">
        <v>175</v>
      </c>
      <c r="I56" s="976"/>
      <c r="J56" s="496" t="s">
        <v>140</v>
      </c>
      <c r="K56" s="977">
        <v>48.36</v>
      </c>
      <c r="L56" s="961"/>
      <c r="M56" s="499">
        <v>54.49</v>
      </c>
      <c r="N56" s="499">
        <v>42.5</v>
      </c>
      <c r="O56" s="977">
        <v>63.67</v>
      </c>
      <c r="P56" s="961"/>
      <c r="Q56" s="499">
        <v>90</v>
      </c>
      <c r="R56" s="499">
        <v>47</v>
      </c>
    </row>
    <row r="57" spans="1:18" ht="12.75" customHeight="1">
      <c r="A57" s="491"/>
      <c r="B57" s="1066"/>
      <c r="C57" s="1070"/>
      <c r="D57" s="1071"/>
      <c r="E57" s="975" t="s">
        <v>188</v>
      </c>
      <c r="F57" s="975"/>
      <c r="G57" s="976"/>
      <c r="H57" s="975" t="s">
        <v>189</v>
      </c>
      <c r="I57" s="976"/>
      <c r="J57" s="496" t="s">
        <v>140</v>
      </c>
      <c r="K57" s="977">
        <v>7.66</v>
      </c>
      <c r="L57" s="961"/>
      <c r="M57" s="499">
        <v>7.66</v>
      </c>
      <c r="N57" s="499">
        <v>7.66</v>
      </c>
      <c r="O57" s="977">
        <v>8.33</v>
      </c>
      <c r="P57" s="961"/>
      <c r="Q57" s="499">
        <v>9</v>
      </c>
      <c r="R57" s="499">
        <v>7.66</v>
      </c>
    </row>
    <row r="58" spans="1:18" ht="12.75" customHeight="1">
      <c r="A58" s="491"/>
      <c r="B58" s="1066"/>
      <c r="C58" s="1070"/>
      <c r="D58" s="1071"/>
      <c r="E58" s="975" t="s">
        <v>190</v>
      </c>
      <c r="F58" s="975"/>
      <c r="G58" s="976"/>
      <c r="H58" s="975" t="s">
        <v>191</v>
      </c>
      <c r="I58" s="976"/>
      <c r="J58" s="496" t="s">
        <v>140</v>
      </c>
      <c r="K58" s="977">
        <v>7.66</v>
      </c>
      <c r="L58" s="961"/>
      <c r="M58" s="499">
        <v>7.66</v>
      </c>
      <c r="N58" s="499">
        <v>7.66</v>
      </c>
      <c r="O58" s="977">
        <v>8.33</v>
      </c>
      <c r="P58" s="961"/>
      <c r="Q58" s="499">
        <v>9</v>
      </c>
      <c r="R58" s="499">
        <v>7.66</v>
      </c>
    </row>
    <row r="59" spans="1:18" ht="12.75" customHeight="1">
      <c r="A59" s="491"/>
      <c r="B59" s="1066"/>
      <c r="C59" s="1070"/>
      <c r="D59" s="1071"/>
      <c r="E59" s="975" t="s">
        <v>176</v>
      </c>
      <c r="F59" s="975"/>
      <c r="G59" s="976"/>
      <c r="H59" s="975" t="s">
        <v>177</v>
      </c>
      <c r="I59" s="976"/>
      <c r="J59" s="496" t="s">
        <v>140</v>
      </c>
      <c r="K59" s="977">
        <v>27.13</v>
      </c>
      <c r="L59" s="961"/>
      <c r="M59" s="499">
        <v>29.4</v>
      </c>
      <c r="N59" s="499">
        <v>26</v>
      </c>
      <c r="O59" s="977">
        <v>32.67</v>
      </c>
      <c r="P59" s="961"/>
      <c r="Q59" s="499">
        <v>40</v>
      </c>
      <c r="R59" s="499">
        <v>29</v>
      </c>
    </row>
    <row r="60" spans="1:18" ht="12.75" customHeight="1">
      <c r="A60" s="491"/>
      <c r="B60" s="1066"/>
      <c r="C60" s="1070"/>
      <c r="D60" s="1071"/>
      <c r="E60" s="975" t="s">
        <v>231</v>
      </c>
      <c r="F60" s="975"/>
      <c r="G60" s="976"/>
      <c r="H60" s="975" t="s">
        <v>232</v>
      </c>
      <c r="I60" s="976"/>
      <c r="J60" s="496" t="s">
        <v>140</v>
      </c>
      <c r="K60" s="977">
        <v>91.09</v>
      </c>
      <c r="L60" s="961"/>
      <c r="M60" s="499">
        <v>93.97</v>
      </c>
      <c r="N60" s="499">
        <v>85.33</v>
      </c>
      <c r="O60" s="977">
        <v>123.87</v>
      </c>
      <c r="P60" s="961"/>
      <c r="Q60" s="499">
        <v>173.25</v>
      </c>
      <c r="R60" s="499">
        <v>95</v>
      </c>
    </row>
    <row r="61" spans="1:18" ht="12.75" customHeight="1">
      <c r="A61" s="491"/>
      <c r="B61" s="1066"/>
      <c r="C61" s="1070"/>
      <c r="D61" s="1071"/>
      <c r="E61" s="975" t="s">
        <v>192</v>
      </c>
      <c r="F61" s="975"/>
      <c r="G61" s="976"/>
      <c r="H61" s="975" t="s">
        <v>193</v>
      </c>
      <c r="I61" s="976"/>
      <c r="J61" s="496" t="s">
        <v>140</v>
      </c>
      <c r="K61" s="977">
        <v>7.84</v>
      </c>
      <c r="L61" s="961"/>
      <c r="M61" s="499">
        <v>7.9</v>
      </c>
      <c r="N61" s="499">
        <v>7.77</v>
      </c>
      <c r="O61" s="977">
        <v>11.67</v>
      </c>
      <c r="P61" s="961"/>
      <c r="Q61" s="499">
        <v>14.95</v>
      </c>
      <c r="R61" s="499">
        <v>7.77</v>
      </c>
    </row>
    <row r="62" spans="1:18" ht="12.75" customHeight="1">
      <c r="A62" s="491"/>
      <c r="B62" s="1066"/>
      <c r="C62" s="1070"/>
      <c r="D62" s="1071"/>
      <c r="E62" s="975" t="s">
        <v>194</v>
      </c>
      <c r="F62" s="975"/>
      <c r="G62" s="976"/>
      <c r="H62" s="975" t="s">
        <v>195</v>
      </c>
      <c r="I62" s="976"/>
      <c r="J62" s="496" t="s">
        <v>140</v>
      </c>
      <c r="K62" s="977">
        <v>7.84</v>
      </c>
      <c r="L62" s="961"/>
      <c r="M62" s="499">
        <v>7.9</v>
      </c>
      <c r="N62" s="499">
        <v>7.77</v>
      </c>
      <c r="O62" s="977">
        <v>11.67</v>
      </c>
      <c r="P62" s="961"/>
      <c r="Q62" s="499">
        <v>14.95</v>
      </c>
      <c r="R62" s="499">
        <v>7.77</v>
      </c>
    </row>
    <row r="63" spans="1:18" ht="12.75" customHeight="1">
      <c r="A63" s="491"/>
      <c r="B63" s="1066"/>
      <c r="C63" s="1070"/>
      <c r="D63" s="1071"/>
      <c r="E63" s="975" t="s">
        <v>164</v>
      </c>
      <c r="F63" s="975"/>
      <c r="G63" s="976"/>
      <c r="H63" s="975" t="s">
        <v>165</v>
      </c>
      <c r="I63" s="976"/>
      <c r="J63" s="496" t="s">
        <v>140</v>
      </c>
      <c r="K63" s="977">
        <v>26.9</v>
      </c>
      <c r="L63" s="961"/>
      <c r="M63" s="499">
        <v>27.3</v>
      </c>
      <c r="N63" s="499">
        <v>24.3</v>
      </c>
      <c r="O63" s="977">
        <v>32.33</v>
      </c>
      <c r="P63" s="961"/>
      <c r="Q63" s="499">
        <v>38</v>
      </c>
      <c r="R63" s="499">
        <v>26</v>
      </c>
    </row>
    <row r="64" spans="1:18" ht="12.75" customHeight="1">
      <c r="A64" s="491"/>
      <c r="B64" s="1066"/>
      <c r="C64" s="1070"/>
      <c r="D64" s="1071"/>
      <c r="E64" s="975" t="s">
        <v>178</v>
      </c>
      <c r="F64" s="975"/>
      <c r="G64" s="976"/>
      <c r="H64" s="975" t="s">
        <v>179</v>
      </c>
      <c r="I64" s="976"/>
      <c r="J64" s="496" t="s">
        <v>140</v>
      </c>
      <c r="K64" s="977">
        <v>60.26</v>
      </c>
      <c r="L64" s="961"/>
      <c r="M64" s="499">
        <v>62.47</v>
      </c>
      <c r="N64" s="499">
        <v>54</v>
      </c>
      <c r="O64" s="977">
        <v>81</v>
      </c>
      <c r="P64" s="961"/>
      <c r="Q64" s="499">
        <v>169</v>
      </c>
      <c r="R64" s="499">
        <v>5</v>
      </c>
    </row>
    <row r="65" spans="1:18" ht="12.75" customHeight="1">
      <c r="A65" s="491"/>
      <c r="B65" s="1066"/>
      <c r="C65" s="1070"/>
      <c r="D65" s="1071"/>
      <c r="E65" s="975" t="s">
        <v>213</v>
      </c>
      <c r="F65" s="975"/>
      <c r="G65" s="976"/>
      <c r="H65" s="975" t="s">
        <v>214</v>
      </c>
      <c r="I65" s="976"/>
      <c r="J65" s="496" t="s">
        <v>140</v>
      </c>
      <c r="K65" s="977">
        <v>0</v>
      </c>
      <c r="L65" s="961"/>
      <c r="M65" s="499">
        <v>0</v>
      </c>
      <c r="N65" s="499">
        <v>0</v>
      </c>
      <c r="O65" s="977">
        <v>0</v>
      </c>
      <c r="P65" s="961"/>
      <c r="Q65" s="499">
        <v>0</v>
      </c>
      <c r="R65" s="499">
        <v>0</v>
      </c>
    </row>
    <row r="66" spans="1:18" ht="12.75" customHeight="1">
      <c r="A66" s="491"/>
      <c r="B66" s="1066"/>
      <c r="C66" s="1070"/>
      <c r="D66" s="1071"/>
      <c r="E66" s="975" t="s">
        <v>321</v>
      </c>
      <c r="F66" s="975"/>
      <c r="G66" s="976"/>
      <c r="H66" s="975" t="s">
        <v>322</v>
      </c>
      <c r="I66" s="976"/>
      <c r="J66" s="497">
        <v>135983</v>
      </c>
      <c r="K66" s="977">
        <v>28.2</v>
      </c>
      <c r="L66" s="961"/>
      <c r="M66" s="499">
        <v>28.2</v>
      </c>
      <c r="N66" s="499">
        <v>28.2</v>
      </c>
      <c r="O66" s="977">
        <v>28.2</v>
      </c>
      <c r="P66" s="961"/>
      <c r="Q66" s="499">
        <v>28.2</v>
      </c>
      <c r="R66" s="499">
        <v>28.2</v>
      </c>
    </row>
    <row r="67" spans="1:18" ht="12.75" customHeight="1">
      <c r="A67" s="491"/>
      <c r="B67" s="1066"/>
      <c r="C67" s="1070"/>
      <c r="D67" s="1071"/>
      <c r="E67" s="975" t="s">
        <v>225</v>
      </c>
      <c r="F67" s="975"/>
      <c r="G67" s="976"/>
      <c r="H67" s="975" t="s">
        <v>226</v>
      </c>
      <c r="I67" s="976"/>
      <c r="J67" s="497">
        <v>1044905</v>
      </c>
      <c r="K67" s="977">
        <v>131.9</v>
      </c>
      <c r="L67" s="961"/>
      <c r="M67" s="499">
        <v>131.9</v>
      </c>
      <c r="N67" s="499">
        <v>131.9</v>
      </c>
      <c r="O67" s="977">
        <v>131.9</v>
      </c>
      <c r="P67" s="961"/>
      <c r="Q67" s="499">
        <v>131.9</v>
      </c>
      <c r="R67" s="499">
        <v>131.9</v>
      </c>
    </row>
    <row r="68" spans="1:18" ht="12.75" customHeight="1">
      <c r="A68" s="491"/>
      <c r="B68" s="1066"/>
      <c r="C68" s="1070"/>
      <c r="D68" s="1071"/>
      <c r="E68" s="975" t="s">
        <v>215</v>
      </c>
      <c r="F68" s="975"/>
      <c r="G68" s="976"/>
      <c r="H68" s="975" t="s">
        <v>216</v>
      </c>
      <c r="I68" s="976"/>
      <c r="J68" s="496" t="s">
        <v>140</v>
      </c>
      <c r="K68" s="977">
        <v>0</v>
      </c>
      <c r="L68" s="961"/>
      <c r="M68" s="499">
        <v>0</v>
      </c>
      <c r="N68" s="499">
        <v>0</v>
      </c>
      <c r="O68" s="977">
        <v>0</v>
      </c>
      <c r="P68" s="961"/>
      <c r="Q68" s="499">
        <v>0</v>
      </c>
      <c r="R68" s="499">
        <v>0</v>
      </c>
    </row>
    <row r="69" spans="1:18" ht="12.75" customHeight="1">
      <c r="A69" s="491"/>
      <c r="B69" s="1066"/>
      <c r="C69" s="1070"/>
      <c r="D69" s="1071"/>
      <c r="E69" s="975" t="s">
        <v>158</v>
      </c>
      <c r="F69" s="975"/>
      <c r="G69" s="976"/>
      <c r="H69" s="975" t="s">
        <v>159</v>
      </c>
      <c r="I69" s="976"/>
      <c r="J69" s="496" t="s">
        <v>140</v>
      </c>
      <c r="K69" s="977">
        <v>90.3</v>
      </c>
      <c r="L69" s="961"/>
      <c r="M69" s="499">
        <v>94.5</v>
      </c>
      <c r="N69" s="499">
        <v>86.1</v>
      </c>
      <c r="O69" s="977">
        <v>127.43</v>
      </c>
      <c r="P69" s="961"/>
      <c r="Q69" s="499">
        <v>173.25</v>
      </c>
      <c r="R69" s="499">
        <v>95</v>
      </c>
    </row>
    <row r="70" spans="1:18" ht="12.75" customHeight="1">
      <c r="A70" s="491"/>
      <c r="B70" s="1066"/>
      <c r="C70" s="1070"/>
      <c r="D70" s="1071"/>
      <c r="E70" s="975" t="s">
        <v>258</v>
      </c>
      <c r="F70" s="975"/>
      <c r="G70" s="976"/>
      <c r="H70" s="975" t="s">
        <v>259</v>
      </c>
      <c r="I70" s="976"/>
      <c r="J70" s="496" t="s">
        <v>140</v>
      </c>
      <c r="K70" s="977">
        <v>64.34</v>
      </c>
      <c r="L70" s="961"/>
      <c r="M70" s="499">
        <v>68.13</v>
      </c>
      <c r="N70" s="499">
        <v>62.45</v>
      </c>
      <c r="O70" s="977">
        <v>71</v>
      </c>
      <c r="P70" s="961"/>
      <c r="Q70" s="499">
        <v>75</v>
      </c>
      <c r="R70" s="499">
        <v>69</v>
      </c>
    </row>
    <row r="71" spans="1:18" ht="12.75" customHeight="1">
      <c r="A71" s="491"/>
      <c r="B71" s="1066"/>
      <c r="C71" s="1070"/>
      <c r="D71" s="1071"/>
      <c r="E71" s="975" t="s">
        <v>144</v>
      </c>
      <c r="F71" s="975"/>
      <c r="G71" s="976"/>
      <c r="H71" s="975" t="s">
        <v>145</v>
      </c>
      <c r="I71" s="976"/>
      <c r="J71" s="496" t="s">
        <v>140</v>
      </c>
      <c r="K71" s="977">
        <v>0</v>
      </c>
      <c r="L71" s="961"/>
      <c r="M71" s="499">
        <v>0</v>
      </c>
      <c r="N71" s="499">
        <v>0</v>
      </c>
      <c r="O71" s="977">
        <v>0</v>
      </c>
      <c r="P71" s="961"/>
      <c r="Q71" s="499">
        <v>0</v>
      </c>
      <c r="R71" s="499">
        <v>0</v>
      </c>
    </row>
    <row r="72" spans="1:18" ht="12.75" customHeight="1">
      <c r="A72" s="491"/>
      <c r="B72" s="1066"/>
      <c r="C72" s="1070"/>
      <c r="D72" s="1071"/>
      <c r="E72" s="975" t="s">
        <v>166</v>
      </c>
      <c r="F72" s="975"/>
      <c r="G72" s="976"/>
      <c r="H72" s="975" t="s">
        <v>167</v>
      </c>
      <c r="I72" s="976"/>
      <c r="J72" s="496" t="s">
        <v>140</v>
      </c>
      <c r="K72" s="977">
        <v>29.31</v>
      </c>
      <c r="L72" s="961"/>
      <c r="M72" s="499">
        <v>29.92</v>
      </c>
      <c r="N72" s="499">
        <v>26</v>
      </c>
      <c r="O72" s="977">
        <v>34.07</v>
      </c>
      <c r="P72" s="961"/>
      <c r="Q72" s="499">
        <v>40</v>
      </c>
      <c r="R72" s="499">
        <v>27</v>
      </c>
    </row>
    <row r="73" spans="1:18" ht="12.75" customHeight="1">
      <c r="A73" s="491"/>
      <c r="B73" s="1066"/>
      <c r="C73" s="1070"/>
      <c r="D73" s="1071"/>
      <c r="E73" s="975" t="s">
        <v>146</v>
      </c>
      <c r="F73" s="975"/>
      <c r="G73" s="976"/>
      <c r="H73" s="975" t="s">
        <v>147</v>
      </c>
      <c r="I73" s="976"/>
      <c r="J73" s="496" t="s">
        <v>140</v>
      </c>
      <c r="K73" s="977">
        <v>90.4</v>
      </c>
      <c r="L73" s="961"/>
      <c r="M73" s="499">
        <v>96.59</v>
      </c>
      <c r="N73" s="499">
        <v>84.2</v>
      </c>
      <c r="O73" s="977">
        <v>121.95</v>
      </c>
      <c r="P73" s="961"/>
      <c r="Q73" s="499">
        <v>150</v>
      </c>
      <c r="R73" s="499">
        <v>93.9</v>
      </c>
    </row>
    <row r="74" spans="1:18" ht="12.75" customHeight="1">
      <c r="A74" s="491"/>
      <c r="B74" s="1066"/>
      <c r="C74" s="1070"/>
      <c r="D74" s="1071"/>
      <c r="E74" s="975" t="s">
        <v>148</v>
      </c>
      <c r="F74" s="975"/>
      <c r="G74" s="976"/>
      <c r="H74" s="975" t="s">
        <v>149</v>
      </c>
      <c r="I74" s="976"/>
      <c r="J74" s="496" t="s">
        <v>140</v>
      </c>
      <c r="K74" s="977">
        <v>69.239999999999995</v>
      </c>
      <c r="L74" s="961"/>
      <c r="M74" s="499">
        <v>74.28</v>
      </c>
      <c r="N74" s="499">
        <v>64.2</v>
      </c>
      <c r="O74" s="977">
        <v>114.3</v>
      </c>
      <c r="P74" s="961"/>
      <c r="Q74" s="499">
        <v>150</v>
      </c>
      <c r="R74" s="499">
        <v>78.599999999999994</v>
      </c>
    </row>
    <row r="75" spans="1:18" ht="12.75" customHeight="1">
      <c r="A75" s="491"/>
      <c r="B75" s="1066"/>
      <c r="C75" s="1070"/>
      <c r="D75" s="1071"/>
      <c r="E75" s="975" t="s">
        <v>323</v>
      </c>
      <c r="F75" s="975"/>
      <c r="G75" s="976"/>
      <c r="H75" s="975" t="s">
        <v>324</v>
      </c>
      <c r="I75" s="976"/>
      <c r="J75" s="497">
        <v>135983</v>
      </c>
      <c r="K75" s="977">
        <v>28.2</v>
      </c>
      <c r="L75" s="961"/>
      <c r="M75" s="499">
        <v>28.2</v>
      </c>
      <c r="N75" s="499">
        <v>28.2</v>
      </c>
      <c r="O75" s="977">
        <v>28.2</v>
      </c>
      <c r="P75" s="961"/>
      <c r="Q75" s="499">
        <v>28.2</v>
      </c>
      <c r="R75" s="499">
        <v>28.2</v>
      </c>
    </row>
    <row r="76" spans="1:18" ht="12.75" customHeight="1">
      <c r="A76" s="491"/>
      <c r="B76" s="1066"/>
      <c r="C76" s="1070"/>
      <c r="D76" s="1071"/>
      <c r="E76" s="975" t="s">
        <v>208</v>
      </c>
      <c r="F76" s="975"/>
      <c r="G76" s="976"/>
      <c r="H76" s="975" t="s">
        <v>209</v>
      </c>
      <c r="I76" s="976"/>
      <c r="J76" s="496" t="s">
        <v>140</v>
      </c>
      <c r="K76" s="977">
        <v>16.690000000000001</v>
      </c>
      <c r="L76" s="961"/>
      <c r="M76" s="499">
        <v>16.829999999999998</v>
      </c>
      <c r="N76" s="499">
        <v>16.5</v>
      </c>
      <c r="O76" s="977">
        <v>18.579999999999998</v>
      </c>
      <c r="P76" s="961"/>
      <c r="Q76" s="499">
        <v>20</v>
      </c>
      <c r="R76" s="499">
        <v>16</v>
      </c>
    </row>
    <row r="77" spans="1:18" ht="12.75" customHeight="1">
      <c r="A77" s="491"/>
      <c r="B77" s="1066"/>
      <c r="C77" s="1070"/>
      <c r="D77" s="1071"/>
      <c r="E77" s="975" t="s">
        <v>168</v>
      </c>
      <c r="F77" s="975"/>
      <c r="G77" s="976"/>
      <c r="H77" s="975" t="s">
        <v>169</v>
      </c>
      <c r="I77" s="976"/>
      <c r="J77" s="496" t="s">
        <v>140</v>
      </c>
      <c r="K77" s="977">
        <v>29.31</v>
      </c>
      <c r="L77" s="961"/>
      <c r="M77" s="499">
        <v>29.92</v>
      </c>
      <c r="N77" s="499">
        <v>26</v>
      </c>
      <c r="O77" s="977">
        <v>34.4</v>
      </c>
      <c r="P77" s="961"/>
      <c r="Q77" s="499">
        <v>50</v>
      </c>
      <c r="R77" s="499">
        <v>27</v>
      </c>
    </row>
    <row r="78" spans="1:18" ht="12.75" customHeight="1">
      <c r="A78" s="491"/>
      <c r="B78" s="1066"/>
      <c r="C78" s="1070"/>
      <c r="D78" s="1071"/>
      <c r="E78" s="975" t="s">
        <v>150</v>
      </c>
      <c r="F78" s="975"/>
      <c r="G78" s="976"/>
      <c r="H78" s="975" t="s">
        <v>151</v>
      </c>
      <c r="I78" s="976"/>
      <c r="J78" s="496" t="s">
        <v>140</v>
      </c>
      <c r="K78" s="977">
        <v>92</v>
      </c>
      <c r="L78" s="961"/>
      <c r="M78" s="499">
        <v>92</v>
      </c>
      <c r="N78" s="499">
        <v>92</v>
      </c>
      <c r="O78" s="977">
        <v>112</v>
      </c>
      <c r="P78" s="961"/>
      <c r="Q78" s="499">
        <v>112</v>
      </c>
      <c r="R78" s="499">
        <v>112</v>
      </c>
    </row>
    <row r="79" spans="1:18" ht="12.75" customHeight="1">
      <c r="A79" s="491"/>
      <c r="B79" s="1066"/>
      <c r="C79" s="1070"/>
      <c r="D79" s="1071"/>
      <c r="E79" s="975" t="s">
        <v>219</v>
      </c>
      <c r="F79" s="975"/>
      <c r="G79" s="976"/>
      <c r="H79" s="975" t="s">
        <v>220</v>
      </c>
      <c r="I79" s="976"/>
      <c r="J79" s="496" t="s">
        <v>140</v>
      </c>
      <c r="K79" s="977">
        <v>44.39</v>
      </c>
      <c r="L79" s="961"/>
      <c r="M79" s="499">
        <v>46.72</v>
      </c>
      <c r="N79" s="499">
        <v>39.72</v>
      </c>
      <c r="O79" s="977">
        <v>75</v>
      </c>
      <c r="P79" s="961"/>
      <c r="Q79" s="499">
        <v>75</v>
      </c>
      <c r="R79" s="499">
        <v>75</v>
      </c>
    </row>
    <row r="80" spans="1:18" ht="12.75" customHeight="1">
      <c r="A80" s="491"/>
      <c r="B80" s="1066"/>
      <c r="C80" s="1070"/>
      <c r="D80" s="1071"/>
      <c r="E80" s="975" t="s">
        <v>221</v>
      </c>
      <c r="F80" s="975"/>
      <c r="G80" s="976"/>
      <c r="H80" s="975" t="s">
        <v>222</v>
      </c>
      <c r="I80" s="976"/>
      <c r="J80" s="496" t="s">
        <v>140</v>
      </c>
      <c r="K80" s="977">
        <v>41.94</v>
      </c>
      <c r="L80" s="961"/>
      <c r="M80" s="499">
        <v>43.05</v>
      </c>
      <c r="N80" s="499">
        <v>39.72</v>
      </c>
      <c r="O80" s="977">
        <v>60</v>
      </c>
      <c r="P80" s="961"/>
      <c r="Q80" s="499">
        <v>60</v>
      </c>
      <c r="R80" s="499">
        <v>60</v>
      </c>
    </row>
    <row r="81" spans="1:18" ht="12.75" customHeight="1">
      <c r="A81" s="491"/>
      <c r="B81" s="1066"/>
      <c r="C81" s="1070"/>
      <c r="D81" s="1071"/>
      <c r="E81" s="975" t="s">
        <v>254</v>
      </c>
      <c r="F81" s="975"/>
      <c r="G81" s="976"/>
      <c r="H81" s="975" t="s">
        <v>255</v>
      </c>
      <c r="I81" s="976"/>
      <c r="J81" s="496" t="s">
        <v>140</v>
      </c>
      <c r="K81" s="977">
        <v>26.61</v>
      </c>
      <c r="L81" s="961"/>
      <c r="M81" s="499">
        <v>26.61</v>
      </c>
      <c r="N81" s="499">
        <v>26.61</v>
      </c>
      <c r="O81" s="977">
        <v>29.27</v>
      </c>
      <c r="P81" s="961"/>
      <c r="Q81" s="499">
        <v>29.27</v>
      </c>
      <c r="R81" s="499">
        <v>29.27</v>
      </c>
    </row>
    <row r="82" spans="1:18" ht="12.75" customHeight="1">
      <c r="A82" s="491"/>
      <c r="B82" s="1066"/>
      <c r="C82" s="1070"/>
      <c r="D82" s="1071"/>
      <c r="E82" s="975" t="s">
        <v>182</v>
      </c>
      <c r="F82" s="975"/>
      <c r="G82" s="976"/>
      <c r="H82" s="975" t="s">
        <v>183</v>
      </c>
      <c r="I82" s="976"/>
      <c r="J82" s="496" t="s">
        <v>140</v>
      </c>
      <c r="K82" s="977">
        <v>0</v>
      </c>
      <c r="L82" s="961"/>
      <c r="M82" s="499">
        <v>0</v>
      </c>
      <c r="N82" s="499">
        <v>0</v>
      </c>
      <c r="O82" s="977">
        <v>0</v>
      </c>
      <c r="P82" s="961"/>
      <c r="Q82" s="499">
        <v>0</v>
      </c>
      <c r="R82" s="499">
        <v>0</v>
      </c>
    </row>
    <row r="83" spans="1:18" ht="12.75" customHeight="1">
      <c r="A83" s="491"/>
      <c r="B83" s="1066"/>
      <c r="C83" s="1070"/>
      <c r="D83" s="1071"/>
      <c r="E83" s="975" t="s">
        <v>197</v>
      </c>
      <c r="F83" s="975"/>
      <c r="G83" s="976"/>
      <c r="H83" s="975" t="s">
        <v>198</v>
      </c>
      <c r="I83" s="976"/>
      <c r="J83" s="496" t="s">
        <v>140</v>
      </c>
      <c r="K83" s="977">
        <v>29.13</v>
      </c>
      <c r="L83" s="961"/>
      <c r="M83" s="499">
        <v>30.45</v>
      </c>
      <c r="N83" s="499">
        <v>27.81</v>
      </c>
      <c r="O83" s="977">
        <v>29.13</v>
      </c>
      <c r="P83" s="961"/>
      <c r="Q83" s="499">
        <v>30.45</v>
      </c>
      <c r="R83" s="499">
        <v>27.81</v>
      </c>
    </row>
    <row r="84" spans="1:18" ht="12.75" customHeight="1">
      <c r="A84" s="491"/>
      <c r="B84" s="1066"/>
      <c r="C84" s="1070"/>
      <c r="D84" s="1071"/>
      <c r="E84" s="975" t="s">
        <v>227</v>
      </c>
      <c r="F84" s="975"/>
      <c r="G84" s="976"/>
      <c r="H84" s="975" t="s">
        <v>228</v>
      </c>
      <c r="I84" s="976"/>
      <c r="J84" s="497">
        <v>6807564.0800000001</v>
      </c>
      <c r="K84" s="977">
        <v>0</v>
      </c>
      <c r="L84" s="961"/>
      <c r="M84" s="499">
        <v>0</v>
      </c>
      <c r="N84" s="499">
        <v>0</v>
      </c>
      <c r="O84" s="960" t="s">
        <v>140</v>
      </c>
      <c r="P84" s="961"/>
      <c r="Q84" s="498" t="s">
        <v>140</v>
      </c>
      <c r="R84" s="498" t="s">
        <v>140</v>
      </c>
    </row>
    <row r="85" spans="1:18" ht="12.75" customHeight="1">
      <c r="A85" s="491"/>
      <c r="B85" s="1066"/>
      <c r="C85" s="1072"/>
      <c r="D85" s="1073"/>
      <c r="E85" s="958" t="s">
        <v>467</v>
      </c>
      <c r="F85" s="958"/>
      <c r="G85" s="959"/>
      <c r="H85" s="958" t="s">
        <v>140</v>
      </c>
      <c r="I85" s="959"/>
      <c r="J85" s="501">
        <v>10393412</v>
      </c>
      <c r="K85" s="960" t="s">
        <v>140</v>
      </c>
      <c r="L85" s="961"/>
      <c r="M85" s="498" t="s">
        <v>140</v>
      </c>
      <c r="N85" s="498" t="s">
        <v>140</v>
      </c>
      <c r="O85" s="960" t="s">
        <v>140</v>
      </c>
      <c r="P85" s="961"/>
      <c r="Q85" s="498" t="s">
        <v>140</v>
      </c>
      <c r="R85" s="498" t="s">
        <v>140</v>
      </c>
    </row>
    <row r="86" spans="1:18" ht="12.75" customHeight="1">
      <c r="A86" s="491"/>
      <c r="B86" s="1066"/>
      <c r="C86" s="1068" t="s">
        <v>350</v>
      </c>
      <c r="D86" s="1069"/>
      <c r="E86" s="975" t="s">
        <v>363</v>
      </c>
      <c r="F86" s="975"/>
      <c r="G86" s="976"/>
      <c r="H86" s="975" t="s">
        <v>364</v>
      </c>
      <c r="I86" s="976"/>
      <c r="J86" s="497">
        <v>719777.5</v>
      </c>
      <c r="K86" s="977">
        <v>160</v>
      </c>
      <c r="L86" s="961"/>
      <c r="M86" s="499">
        <v>160</v>
      </c>
      <c r="N86" s="499">
        <v>160</v>
      </c>
      <c r="O86" s="977">
        <v>160</v>
      </c>
      <c r="P86" s="961"/>
      <c r="Q86" s="499">
        <v>160</v>
      </c>
      <c r="R86" s="499">
        <v>160</v>
      </c>
    </row>
    <row r="87" spans="1:18" ht="12.75" customHeight="1">
      <c r="A87" s="491"/>
      <c r="B87" s="1066"/>
      <c r="C87" s="1070"/>
      <c r="D87" s="1071"/>
      <c r="E87" s="975" t="s">
        <v>365</v>
      </c>
      <c r="F87" s="975"/>
      <c r="G87" s="976"/>
      <c r="H87" s="975" t="s">
        <v>366</v>
      </c>
      <c r="I87" s="976"/>
      <c r="J87" s="497">
        <v>65355.8</v>
      </c>
      <c r="K87" s="977">
        <v>52.45</v>
      </c>
      <c r="L87" s="961"/>
      <c r="M87" s="499">
        <v>52.46</v>
      </c>
      <c r="N87" s="499">
        <v>52.43</v>
      </c>
      <c r="O87" s="977">
        <v>52.45</v>
      </c>
      <c r="P87" s="961"/>
      <c r="Q87" s="499">
        <v>52.46</v>
      </c>
      <c r="R87" s="499">
        <v>52.43</v>
      </c>
    </row>
    <row r="88" spans="1:18" ht="12.75" customHeight="1">
      <c r="A88" s="491"/>
      <c r="B88" s="1066"/>
      <c r="C88" s="1070"/>
      <c r="D88" s="1071"/>
      <c r="E88" s="975" t="s">
        <v>367</v>
      </c>
      <c r="F88" s="975"/>
      <c r="G88" s="976"/>
      <c r="H88" s="975" t="s">
        <v>368</v>
      </c>
      <c r="I88" s="976"/>
      <c r="J88" s="497">
        <v>366510.7</v>
      </c>
      <c r="K88" s="977">
        <v>78.91</v>
      </c>
      <c r="L88" s="961"/>
      <c r="M88" s="499">
        <v>78.92</v>
      </c>
      <c r="N88" s="499">
        <v>78.900000000000006</v>
      </c>
      <c r="O88" s="977">
        <v>78.91</v>
      </c>
      <c r="P88" s="961"/>
      <c r="Q88" s="499">
        <v>78.92</v>
      </c>
      <c r="R88" s="499">
        <v>78.900000000000006</v>
      </c>
    </row>
    <row r="89" spans="1:18" ht="12.75" customHeight="1">
      <c r="A89" s="491"/>
      <c r="B89" s="1066"/>
      <c r="C89" s="1070"/>
      <c r="D89" s="1071"/>
      <c r="E89" s="975" t="s">
        <v>355</v>
      </c>
      <c r="F89" s="975"/>
      <c r="G89" s="976"/>
      <c r="H89" s="975" t="s">
        <v>356</v>
      </c>
      <c r="I89" s="976"/>
      <c r="J89" s="496" t="s">
        <v>140</v>
      </c>
      <c r="K89" s="977">
        <v>7.84</v>
      </c>
      <c r="L89" s="961"/>
      <c r="M89" s="499">
        <v>7.9</v>
      </c>
      <c r="N89" s="499">
        <v>7.77</v>
      </c>
      <c r="O89" s="977">
        <v>11.67</v>
      </c>
      <c r="P89" s="961"/>
      <c r="Q89" s="499">
        <v>14.95</v>
      </c>
      <c r="R89" s="499">
        <v>7.77</v>
      </c>
    </row>
    <row r="90" spans="1:18" ht="12.75" customHeight="1">
      <c r="A90" s="491"/>
      <c r="B90" s="1066"/>
      <c r="C90" s="1070"/>
      <c r="D90" s="1071"/>
      <c r="E90" s="975" t="s">
        <v>168</v>
      </c>
      <c r="F90" s="975"/>
      <c r="G90" s="976"/>
      <c r="H90" s="975" t="s">
        <v>169</v>
      </c>
      <c r="I90" s="976"/>
      <c r="J90" s="496" t="s">
        <v>140</v>
      </c>
      <c r="K90" s="977">
        <v>10</v>
      </c>
      <c r="L90" s="961"/>
      <c r="M90" s="499">
        <v>10</v>
      </c>
      <c r="N90" s="499">
        <v>10</v>
      </c>
      <c r="O90" s="977">
        <v>10</v>
      </c>
      <c r="P90" s="961"/>
      <c r="Q90" s="499">
        <v>10</v>
      </c>
      <c r="R90" s="499">
        <v>10</v>
      </c>
    </row>
    <row r="91" spans="1:18" ht="12.75" customHeight="1">
      <c r="A91" s="491"/>
      <c r="B91" s="1066"/>
      <c r="C91" s="1070"/>
      <c r="D91" s="1071"/>
      <c r="E91" s="975" t="s">
        <v>358</v>
      </c>
      <c r="F91" s="975"/>
      <c r="G91" s="976"/>
      <c r="H91" s="975" t="s">
        <v>359</v>
      </c>
      <c r="I91" s="976"/>
      <c r="J91" s="496" t="s">
        <v>140</v>
      </c>
      <c r="K91" s="977">
        <v>29.38</v>
      </c>
      <c r="L91" s="961"/>
      <c r="M91" s="499">
        <v>29.92</v>
      </c>
      <c r="N91" s="499">
        <v>26</v>
      </c>
      <c r="O91" s="977">
        <v>35</v>
      </c>
      <c r="P91" s="961"/>
      <c r="Q91" s="499">
        <v>50</v>
      </c>
      <c r="R91" s="499">
        <v>29</v>
      </c>
    </row>
    <row r="92" spans="1:18" ht="12.75" customHeight="1">
      <c r="A92" s="491"/>
      <c r="B92" s="1066"/>
      <c r="C92" s="1070"/>
      <c r="D92" s="1071"/>
      <c r="E92" s="975" t="s">
        <v>182</v>
      </c>
      <c r="F92" s="975"/>
      <c r="G92" s="976"/>
      <c r="H92" s="975" t="s">
        <v>183</v>
      </c>
      <c r="I92" s="976"/>
      <c r="J92" s="496" t="s">
        <v>140</v>
      </c>
      <c r="K92" s="977">
        <v>0</v>
      </c>
      <c r="L92" s="961"/>
      <c r="M92" s="499">
        <v>0</v>
      </c>
      <c r="N92" s="499">
        <v>0</v>
      </c>
      <c r="O92" s="960" t="s">
        <v>140</v>
      </c>
      <c r="P92" s="961"/>
      <c r="Q92" s="498" t="s">
        <v>140</v>
      </c>
      <c r="R92" s="498" t="s">
        <v>140</v>
      </c>
    </row>
    <row r="93" spans="1:18" ht="12.75" customHeight="1">
      <c r="A93" s="491"/>
      <c r="B93" s="1066"/>
      <c r="C93" s="1070"/>
      <c r="D93" s="1071"/>
      <c r="E93" s="975" t="s">
        <v>352</v>
      </c>
      <c r="F93" s="975"/>
      <c r="G93" s="976"/>
      <c r="H93" s="975" t="s">
        <v>353</v>
      </c>
      <c r="I93" s="976"/>
      <c r="J93" s="496" t="s">
        <v>140</v>
      </c>
      <c r="K93" s="977">
        <v>0</v>
      </c>
      <c r="L93" s="961"/>
      <c r="M93" s="499">
        <v>0</v>
      </c>
      <c r="N93" s="499">
        <v>0</v>
      </c>
      <c r="O93" s="960" t="s">
        <v>140</v>
      </c>
      <c r="P93" s="961"/>
      <c r="Q93" s="498" t="s">
        <v>140</v>
      </c>
      <c r="R93" s="498" t="s">
        <v>140</v>
      </c>
    </row>
    <row r="94" spans="1:18" ht="12.75" customHeight="1">
      <c r="A94" s="491"/>
      <c r="B94" s="1066"/>
      <c r="C94" s="1072"/>
      <c r="D94" s="1073"/>
      <c r="E94" s="958" t="s">
        <v>467</v>
      </c>
      <c r="F94" s="958"/>
      <c r="G94" s="959"/>
      <c r="H94" s="958" t="s">
        <v>140</v>
      </c>
      <c r="I94" s="959"/>
      <c r="J94" s="501">
        <v>1151644</v>
      </c>
      <c r="K94" s="960" t="s">
        <v>140</v>
      </c>
      <c r="L94" s="961"/>
      <c r="M94" s="498" t="s">
        <v>140</v>
      </c>
      <c r="N94" s="498" t="s">
        <v>140</v>
      </c>
      <c r="O94" s="960" t="s">
        <v>140</v>
      </c>
      <c r="P94" s="961"/>
      <c r="Q94" s="498" t="s">
        <v>140</v>
      </c>
      <c r="R94" s="498" t="s">
        <v>140</v>
      </c>
    </row>
    <row r="95" spans="1:18" ht="12.75" customHeight="1">
      <c r="A95" s="491"/>
      <c r="B95" s="1066"/>
      <c r="C95" s="1068" t="s">
        <v>379</v>
      </c>
      <c r="D95" s="1069"/>
      <c r="E95" s="975" t="s">
        <v>206</v>
      </c>
      <c r="F95" s="975"/>
      <c r="G95" s="976"/>
      <c r="H95" s="975" t="s">
        <v>207</v>
      </c>
      <c r="I95" s="976"/>
      <c r="J95" s="497">
        <v>160132</v>
      </c>
      <c r="K95" s="977">
        <v>150.09</v>
      </c>
      <c r="L95" s="961"/>
      <c r="M95" s="499">
        <v>154.15</v>
      </c>
      <c r="N95" s="499">
        <v>148.06</v>
      </c>
      <c r="O95" s="977">
        <v>160.66</v>
      </c>
      <c r="P95" s="961"/>
      <c r="Q95" s="499">
        <v>163.92</v>
      </c>
      <c r="R95" s="499">
        <v>154.15</v>
      </c>
    </row>
    <row r="96" spans="1:18" ht="12.75" customHeight="1">
      <c r="A96" s="491"/>
      <c r="B96" s="1066"/>
      <c r="C96" s="1070"/>
      <c r="D96" s="1071"/>
      <c r="E96" s="975" t="s">
        <v>172</v>
      </c>
      <c r="F96" s="975"/>
      <c r="G96" s="976"/>
      <c r="H96" s="975" t="s">
        <v>173</v>
      </c>
      <c r="I96" s="976"/>
      <c r="J96" s="497">
        <v>105122</v>
      </c>
      <c r="K96" s="977">
        <v>68.37</v>
      </c>
      <c r="L96" s="961"/>
      <c r="M96" s="499">
        <v>68.37</v>
      </c>
      <c r="N96" s="499">
        <v>68.37</v>
      </c>
      <c r="O96" s="977">
        <v>68.37</v>
      </c>
      <c r="P96" s="961"/>
      <c r="Q96" s="499">
        <v>68.37</v>
      </c>
      <c r="R96" s="499">
        <v>68.37</v>
      </c>
    </row>
    <row r="97" spans="1:18" ht="12.75" customHeight="1">
      <c r="A97" s="491"/>
      <c r="B97" s="1066"/>
      <c r="C97" s="1070"/>
      <c r="D97" s="1071"/>
      <c r="E97" s="975" t="s">
        <v>382</v>
      </c>
      <c r="F97" s="975"/>
      <c r="G97" s="976"/>
      <c r="H97" s="975" t="s">
        <v>383</v>
      </c>
      <c r="I97" s="976"/>
      <c r="J97" s="497">
        <v>72745</v>
      </c>
      <c r="K97" s="977">
        <v>8.4600000000000009</v>
      </c>
      <c r="L97" s="961"/>
      <c r="M97" s="499">
        <v>8.4600000000000009</v>
      </c>
      <c r="N97" s="499">
        <v>8.4600000000000009</v>
      </c>
      <c r="O97" s="977">
        <v>8.4600000000000009</v>
      </c>
      <c r="P97" s="961"/>
      <c r="Q97" s="499">
        <v>8.4600000000000009</v>
      </c>
      <c r="R97" s="499">
        <v>8.4600000000000009</v>
      </c>
    </row>
    <row r="98" spans="1:18" ht="12.75" customHeight="1">
      <c r="A98" s="491"/>
      <c r="B98" s="1066"/>
      <c r="C98" s="1070"/>
      <c r="D98" s="1071"/>
      <c r="E98" s="975" t="s">
        <v>384</v>
      </c>
      <c r="F98" s="975"/>
      <c r="G98" s="976"/>
      <c r="H98" s="975" t="s">
        <v>385</v>
      </c>
      <c r="I98" s="976"/>
      <c r="J98" s="496" t="s">
        <v>140</v>
      </c>
      <c r="K98" s="977">
        <v>8.4600000000000009</v>
      </c>
      <c r="L98" s="961"/>
      <c r="M98" s="499">
        <v>8.4600000000000009</v>
      </c>
      <c r="N98" s="499">
        <v>8.4600000000000009</v>
      </c>
      <c r="O98" s="977">
        <v>8.4600000000000009</v>
      </c>
      <c r="P98" s="961"/>
      <c r="Q98" s="499">
        <v>8.4600000000000009</v>
      </c>
      <c r="R98" s="499">
        <v>8.4600000000000009</v>
      </c>
    </row>
    <row r="99" spans="1:18" ht="12.75" customHeight="1">
      <c r="A99" s="491"/>
      <c r="B99" s="1066"/>
      <c r="C99" s="1070"/>
      <c r="D99" s="1071"/>
      <c r="E99" s="975" t="s">
        <v>386</v>
      </c>
      <c r="F99" s="975"/>
      <c r="G99" s="976"/>
      <c r="H99" s="975" t="s">
        <v>387</v>
      </c>
      <c r="I99" s="976"/>
      <c r="J99" s="496" t="s">
        <v>140</v>
      </c>
      <c r="K99" s="977">
        <v>8.4600000000000009</v>
      </c>
      <c r="L99" s="961"/>
      <c r="M99" s="499">
        <v>8.4600000000000009</v>
      </c>
      <c r="N99" s="499">
        <v>8.4600000000000009</v>
      </c>
      <c r="O99" s="977">
        <v>8.4600000000000009</v>
      </c>
      <c r="P99" s="961"/>
      <c r="Q99" s="499">
        <v>8.4600000000000009</v>
      </c>
      <c r="R99" s="499">
        <v>8.4600000000000009</v>
      </c>
    </row>
    <row r="100" spans="1:18" ht="12.75" customHeight="1">
      <c r="A100" s="491"/>
      <c r="B100" s="1066"/>
      <c r="C100" s="1070"/>
      <c r="D100" s="1071"/>
      <c r="E100" s="975" t="s">
        <v>388</v>
      </c>
      <c r="F100" s="975"/>
      <c r="G100" s="976"/>
      <c r="H100" s="975" t="s">
        <v>389</v>
      </c>
      <c r="I100" s="976"/>
      <c r="J100" s="496" t="s">
        <v>140</v>
      </c>
      <c r="K100" s="977">
        <v>8.4600000000000009</v>
      </c>
      <c r="L100" s="961"/>
      <c r="M100" s="499">
        <v>8.4600000000000009</v>
      </c>
      <c r="N100" s="499">
        <v>8.4600000000000009</v>
      </c>
      <c r="O100" s="977">
        <v>8.4600000000000009</v>
      </c>
      <c r="P100" s="961"/>
      <c r="Q100" s="499">
        <v>8.4600000000000009</v>
      </c>
      <c r="R100" s="499">
        <v>8.4600000000000009</v>
      </c>
    </row>
    <row r="101" spans="1:18" ht="12.75" customHeight="1">
      <c r="A101" s="491"/>
      <c r="B101" s="1066"/>
      <c r="C101" s="1070"/>
      <c r="D101" s="1071"/>
      <c r="E101" s="975" t="s">
        <v>390</v>
      </c>
      <c r="F101" s="975"/>
      <c r="G101" s="976"/>
      <c r="H101" s="975" t="s">
        <v>391</v>
      </c>
      <c r="I101" s="976"/>
      <c r="J101" s="496" t="s">
        <v>140</v>
      </c>
      <c r="K101" s="977">
        <v>8.4600000000000009</v>
      </c>
      <c r="L101" s="961"/>
      <c r="M101" s="499">
        <v>8.4600000000000009</v>
      </c>
      <c r="N101" s="499">
        <v>8.4600000000000009</v>
      </c>
      <c r="O101" s="977">
        <v>8.4600000000000009</v>
      </c>
      <c r="P101" s="961"/>
      <c r="Q101" s="499">
        <v>8.4600000000000009</v>
      </c>
      <c r="R101" s="499">
        <v>8.4600000000000009</v>
      </c>
    </row>
    <row r="102" spans="1:18" ht="12.75" customHeight="1">
      <c r="A102" s="491"/>
      <c r="B102" s="1066"/>
      <c r="C102" s="1070"/>
      <c r="D102" s="1071"/>
      <c r="E102" s="975" t="s">
        <v>138</v>
      </c>
      <c r="F102" s="975"/>
      <c r="G102" s="976"/>
      <c r="H102" s="975" t="s">
        <v>139</v>
      </c>
      <c r="I102" s="976"/>
      <c r="J102" s="497">
        <v>14512</v>
      </c>
      <c r="K102" s="977">
        <v>2.2599999999999998</v>
      </c>
      <c r="L102" s="961"/>
      <c r="M102" s="499">
        <v>2.2599999999999998</v>
      </c>
      <c r="N102" s="499">
        <v>2.2599999999999998</v>
      </c>
      <c r="O102" s="977">
        <v>2.2599999999999998</v>
      </c>
      <c r="P102" s="961"/>
      <c r="Q102" s="499">
        <v>2.2599999999999998</v>
      </c>
      <c r="R102" s="499">
        <v>2.2599999999999998</v>
      </c>
    </row>
    <row r="103" spans="1:18" ht="12.75" customHeight="1">
      <c r="A103" s="491"/>
      <c r="B103" s="1066"/>
      <c r="C103" s="1070"/>
      <c r="D103" s="1071"/>
      <c r="E103" s="975" t="s">
        <v>188</v>
      </c>
      <c r="F103" s="975"/>
      <c r="G103" s="976"/>
      <c r="H103" s="975" t="s">
        <v>189</v>
      </c>
      <c r="I103" s="976"/>
      <c r="J103" s="496" t="s">
        <v>140</v>
      </c>
      <c r="K103" s="977">
        <v>10.74</v>
      </c>
      <c r="L103" s="961"/>
      <c r="M103" s="499">
        <v>10.74</v>
      </c>
      <c r="N103" s="499">
        <v>10.74</v>
      </c>
      <c r="O103" s="977">
        <v>10.74</v>
      </c>
      <c r="P103" s="961"/>
      <c r="Q103" s="499">
        <v>10.74</v>
      </c>
      <c r="R103" s="499">
        <v>10.74</v>
      </c>
    </row>
    <row r="104" spans="1:18" ht="12.75" customHeight="1">
      <c r="A104" s="491"/>
      <c r="B104" s="1066"/>
      <c r="C104" s="1070"/>
      <c r="D104" s="1071"/>
      <c r="E104" s="975" t="s">
        <v>192</v>
      </c>
      <c r="F104" s="975"/>
      <c r="G104" s="976"/>
      <c r="H104" s="975" t="s">
        <v>193</v>
      </c>
      <c r="I104" s="976"/>
      <c r="J104" s="497">
        <v>850311</v>
      </c>
      <c r="K104" s="977">
        <v>10.26</v>
      </c>
      <c r="L104" s="961"/>
      <c r="M104" s="499">
        <v>10.74</v>
      </c>
      <c r="N104" s="499">
        <v>9.3000000000000007</v>
      </c>
      <c r="O104" s="977">
        <v>10.26</v>
      </c>
      <c r="P104" s="961"/>
      <c r="Q104" s="499">
        <v>10.74</v>
      </c>
      <c r="R104" s="499">
        <v>9.3000000000000007</v>
      </c>
    </row>
    <row r="105" spans="1:18" ht="12.75" customHeight="1">
      <c r="A105" s="491"/>
      <c r="B105" s="1066"/>
      <c r="C105" s="1070"/>
      <c r="D105" s="1071"/>
      <c r="E105" s="975" t="s">
        <v>392</v>
      </c>
      <c r="F105" s="975"/>
      <c r="G105" s="976"/>
      <c r="H105" s="975" t="s">
        <v>393</v>
      </c>
      <c r="I105" s="976"/>
      <c r="J105" s="496" t="s">
        <v>140</v>
      </c>
      <c r="K105" s="977">
        <v>10.26</v>
      </c>
      <c r="L105" s="961"/>
      <c r="M105" s="499">
        <v>10.74</v>
      </c>
      <c r="N105" s="499">
        <v>9.3000000000000007</v>
      </c>
      <c r="O105" s="977">
        <v>10.26</v>
      </c>
      <c r="P105" s="961"/>
      <c r="Q105" s="499">
        <v>10.74</v>
      </c>
      <c r="R105" s="499">
        <v>9.3000000000000007</v>
      </c>
    </row>
    <row r="106" spans="1:18" ht="12.75" customHeight="1">
      <c r="A106" s="491"/>
      <c r="B106" s="1066"/>
      <c r="C106" s="1070"/>
      <c r="D106" s="1071"/>
      <c r="E106" s="975" t="s">
        <v>164</v>
      </c>
      <c r="F106" s="975"/>
      <c r="G106" s="976"/>
      <c r="H106" s="975" t="s">
        <v>165</v>
      </c>
      <c r="I106" s="976"/>
      <c r="J106" s="497">
        <v>68505</v>
      </c>
      <c r="K106" s="977">
        <v>38.74</v>
      </c>
      <c r="L106" s="961"/>
      <c r="M106" s="499">
        <v>38.74</v>
      </c>
      <c r="N106" s="499">
        <v>38.74</v>
      </c>
      <c r="O106" s="977">
        <v>40.15</v>
      </c>
      <c r="P106" s="961"/>
      <c r="Q106" s="499">
        <v>41.55</v>
      </c>
      <c r="R106" s="499">
        <v>38.74</v>
      </c>
    </row>
    <row r="107" spans="1:18" ht="12.75" customHeight="1">
      <c r="A107" s="491"/>
      <c r="B107" s="1066"/>
      <c r="C107" s="1070"/>
      <c r="D107" s="1071"/>
      <c r="E107" s="975" t="s">
        <v>321</v>
      </c>
      <c r="F107" s="975"/>
      <c r="G107" s="976"/>
      <c r="H107" s="975" t="s">
        <v>322</v>
      </c>
      <c r="I107" s="976"/>
      <c r="J107" s="497">
        <v>32628</v>
      </c>
      <c r="K107" s="977">
        <v>28.2</v>
      </c>
      <c r="L107" s="961"/>
      <c r="M107" s="499">
        <v>28.2</v>
      </c>
      <c r="N107" s="499">
        <v>28.2</v>
      </c>
      <c r="O107" s="977">
        <v>28.2</v>
      </c>
      <c r="P107" s="961"/>
      <c r="Q107" s="499">
        <v>28.2</v>
      </c>
      <c r="R107" s="499">
        <v>28.2</v>
      </c>
    </row>
    <row r="108" spans="1:18" ht="12.75" customHeight="1">
      <c r="A108" s="491"/>
      <c r="B108" s="1066"/>
      <c r="C108" s="1070"/>
      <c r="D108" s="1071"/>
      <c r="E108" s="975" t="s">
        <v>395</v>
      </c>
      <c r="F108" s="975"/>
      <c r="G108" s="976"/>
      <c r="H108" s="975" t="s">
        <v>396</v>
      </c>
      <c r="I108" s="976"/>
      <c r="J108" s="497">
        <v>35985</v>
      </c>
      <c r="K108" s="977">
        <v>105.6</v>
      </c>
      <c r="L108" s="961"/>
      <c r="M108" s="499">
        <v>111</v>
      </c>
      <c r="N108" s="499">
        <v>100.2</v>
      </c>
      <c r="O108" s="977">
        <v>233.97</v>
      </c>
      <c r="P108" s="961"/>
      <c r="Q108" s="499">
        <v>356.66</v>
      </c>
      <c r="R108" s="499">
        <v>111.27</v>
      </c>
    </row>
    <row r="109" spans="1:18" ht="12.75" customHeight="1">
      <c r="A109" s="491"/>
      <c r="B109" s="1066"/>
      <c r="C109" s="1070"/>
      <c r="D109" s="1071"/>
      <c r="E109" s="975" t="s">
        <v>158</v>
      </c>
      <c r="F109" s="975"/>
      <c r="G109" s="976"/>
      <c r="H109" s="975" t="s">
        <v>159</v>
      </c>
      <c r="I109" s="976"/>
      <c r="J109" s="497">
        <v>28700</v>
      </c>
      <c r="K109" s="977">
        <v>113</v>
      </c>
      <c r="L109" s="961"/>
      <c r="M109" s="499">
        <v>113</v>
      </c>
      <c r="N109" s="499">
        <v>113</v>
      </c>
      <c r="O109" s="977">
        <v>113</v>
      </c>
      <c r="P109" s="961"/>
      <c r="Q109" s="499">
        <v>113</v>
      </c>
      <c r="R109" s="499">
        <v>113</v>
      </c>
    </row>
    <row r="110" spans="1:18" ht="12.75" customHeight="1">
      <c r="A110" s="491"/>
      <c r="B110" s="1066"/>
      <c r="C110" s="1070"/>
      <c r="D110" s="1071"/>
      <c r="E110" s="975" t="s">
        <v>144</v>
      </c>
      <c r="F110" s="975"/>
      <c r="G110" s="976"/>
      <c r="H110" s="975" t="s">
        <v>145</v>
      </c>
      <c r="I110" s="976"/>
      <c r="J110" s="496" t="s">
        <v>140</v>
      </c>
      <c r="K110" s="977">
        <v>10.74</v>
      </c>
      <c r="L110" s="961"/>
      <c r="M110" s="499">
        <v>10.74</v>
      </c>
      <c r="N110" s="499">
        <v>10.74</v>
      </c>
      <c r="O110" s="977">
        <v>10.74</v>
      </c>
      <c r="P110" s="961"/>
      <c r="Q110" s="499">
        <v>10.74</v>
      </c>
      <c r="R110" s="499">
        <v>10.74</v>
      </c>
    </row>
    <row r="111" spans="1:18" ht="12.75" customHeight="1">
      <c r="A111" s="491"/>
      <c r="B111" s="1066"/>
      <c r="C111" s="1070"/>
      <c r="D111" s="1071"/>
      <c r="E111" s="975" t="s">
        <v>323</v>
      </c>
      <c r="F111" s="975"/>
      <c r="G111" s="976"/>
      <c r="H111" s="975" t="s">
        <v>324</v>
      </c>
      <c r="I111" s="976"/>
      <c r="J111" s="497">
        <v>32628</v>
      </c>
      <c r="K111" s="977">
        <v>28.2</v>
      </c>
      <c r="L111" s="961"/>
      <c r="M111" s="499">
        <v>28.2</v>
      </c>
      <c r="N111" s="499">
        <v>28.2</v>
      </c>
      <c r="O111" s="977">
        <v>28.2</v>
      </c>
      <c r="P111" s="961"/>
      <c r="Q111" s="499">
        <v>28.2</v>
      </c>
      <c r="R111" s="499">
        <v>28.2</v>
      </c>
    </row>
    <row r="112" spans="1:18" ht="12.75" customHeight="1">
      <c r="A112" s="491"/>
      <c r="B112" s="1066"/>
      <c r="C112" s="1070"/>
      <c r="D112" s="1071"/>
      <c r="E112" s="975" t="s">
        <v>197</v>
      </c>
      <c r="F112" s="975"/>
      <c r="G112" s="976"/>
      <c r="H112" s="975" t="s">
        <v>198</v>
      </c>
      <c r="I112" s="976"/>
      <c r="J112" s="497">
        <v>216511</v>
      </c>
      <c r="K112" s="977">
        <v>31.07</v>
      </c>
      <c r="L112" s="961"/>
      <c r="M112" s="499">
        <v>32.659999999999997</v>
      </c>
      <c r="N112" s="499">
        <v>29.47</v>
      </c>
      <c r="O112" s="977">
        <v>62.21</v>
      </c>
      <c r="P112" s="961"/>
      <c r="Q112" s="499">
        <v>91.22</v>
      </c>
      <c r="R112" s="499">
        <v>33.19</v>
      </c>
    </row>
    <row r="113" spans="1:18" ht="12.75" customHeight="1">
      <c r="A113" s="491"/>
      <c r="B113" s="1066"/>
      <c r="C113" s="1072"/>
      <c r="D113" s="1073"/>
      <c r="E113" s="958" t="s">
        <v>467</v>
      </c>
      <c r="F113" s="958"/>
      <c r="G113" s="959"/>
      <c r="H113" s="958" t="s">
        <v>140</v>
      </c>
      <c r="I113" s="959"/>
      <c r="J113" s="501">
        <v>1617779</v>
      </c>
      <c r="K113" s="960" t="s">
        <v>140</v>
      </c>
      <c r="L113" s="961"/>
      <c r="M113" s="498" t="s">
        <v>140</v>
      </c>
      <c r="N113" s="498" t="s">
        <v>140</v>
      </c>
      <c r="O113" s="960" t="s">
        <v>140</v>
      </c>
      <c r="P113" s="961"/>
      <c r="Q113" s="498" t="s">
        <v>140</v>
      </c>
      <c r="R113" s="498" t="s">
        <v>140</v>
      </c>
    </row>
    <row r="114" spans="1:18" ht="12.75" customHeight="1">
      <c r="A114" s="491"/>
      <c r="B114" s="1066"/>
      <c r="C114" s="1068" t="s">
        <v>468</v>
      </c>
      <c r="D114" s="1069"/>
      <c r="E114" s="975" t="s">
        <v>469</v>
      </c>
      <c r="F114" s="975"/>
      <c r="G114" s="976"/>
      <c r="H114" s="975" t="s">
        <v>470</v>
      </c>
      <c r="I114" s="976"/>
      <c r="J114" s="496" t="s">
        <v>140</v>
      </c>
      <c r="K114" s="977">
        <v>0</v>
      </c>
      <c r="L114" s="961"/>
      <c r="M114" s="499">
        <v>0</v>
      </c>
      <c r="N114" s="499">
        <v>0</v>
      </c>
      <c r="O114" s="960" t="s">
        <v>140</v>
      </c>
      <c r="P114" s="961"/>
      <c r="Q114" s="498" t="s">
        <v>140</v>
      </c>
      <c r="R114" s="498" t="s">
        <v>140</v>
      </c>
    </row>
    <row r="115" spans="1:18" ht="12.75" customHeight="1">
      <c r="A115" s="491"/>
      <c r="B115" s="1066"/>
      <c r="C115" s="1072"/>
      <c r="D115" s="1073"/>
      <c r="E115" s="958" t="s">
        <v>467</v>
      </c>
      <c r="F115" s="958"/>
      <c r="G115" s="959"/>
      <c r="H115" s="958" t="s">
        <v>140</v>
      </c>
      <c r="I115" s="959"/>
      <c r="J115" s="500" t="s">
        <v>140</v>
      </c>
      <c r="K115" s="960" t="s">
        <v>140</v>
      </c>
      <c r="L115" s="961"/>
      <c r="M115" s="498" t="s">
        <v>140</v>
      </c>
      <c r="N115" s="498" t="s">
        <v>140</v>
      </c>
      <c r="O115" s="960" t="s">
        <v>140</v>
      </c>
      <c r="P115" s="961"/>
      <c r="Q115" s="498" t="s">
        <v>140</v>
      </c>
      <c r="R115" s="498" t="s">
        <v>140</v>
      </c>
    </row>
    <row r="116" spans="1:18" ht="12.75" customHeight="1">
      <c r="A116" s="491"/>
      <c r="B116" s="1067"/>
      <c r="C116" s="962" t="s">
        <v>140</v>
      </c>
      <c r="D116" s="959"/>
      <c r="E116" s="958" t="s">
        <v>301</v>
      </c>
      <c r="F116" s="958"/>
      <c r="G116" s="959"/>
      <c r="H116" s="958" t="s">
        <v>140</v>
      </c>
      <c r="I116" s="959"/>
      <c r="J116" s="501">
        <v>18197284</v>
      </c>
      <c r="K116" s="960" t="s">
        <v>140</v>
      </c>
      <c r="L116" s="961"/>
      <c r="M116" s="498" t="s">
        <v>140</v>
      </c>
      <c r="N116" s="498" t="s">
        <v>140</v>
      </c>
      <c r="O116" s="960" t="s">
        <v>140</v>
      </c>
      <c r="P116" s="961"/>
      <c r="Q116" s="498" t="s">
        <v>140</v>
      </c>
      <c r="R116" s="498" t="s">
        <v>140</v>
      </c>
    </row>
    <row r="119" spans="1:18" s="491" customFormat="1" ht="15">
      <c r="B119" s="1014" t="s">
        <v>471</v>
      </c>
      <c r="C119" s="1221"/>
      <c r="D119" s="1221"/>
      <c r="E119" s="1221"/>
      <c r="G119" s="1014" t="s">
        <v>472</v>
      </c>
      <c r="H119" s="1221"/>
      <c r="L119"/>
      <c r="M119"/>
      <c r="N119"/>
      <c r="O119"/>
      <c r="P119"/>
      <c r="Q119"/>
      <c r="R119"/>
    </row>
    <row r="120" spans="1:18" s="491" customFormat="1" ht="8.85" customHeight="1"/>
    <row r="121" spans="1:18" s="491" customFormat="1" ht="57">
      <c r="B121" s="734" t="s">
        <v>127</v>
      </c>
      <c r="C121" s="1022" t="s">
        <v>413</v>
      </c>
      <c r="D121" s="1024"/>
      <c r="E121" s="1022" t="s">
        <v>130</v>
      </c>
      <c r="F121" s="1023"/>
      <c r="G121" s="1024"/>
      <c r="H121" s="1022" t="s">
        <v>131</v>
      </c>
      <c r="I121" s="1024"/>
      <c r="J121" s="734" t="s">
        <v>461</v>
      </c>
      <c r="K121" s="1022" t="s">
        <v>133</v>
      </c>
      <c r="L121" s="1024"/>
      <c r="M121" s="734" t="s">
        <v>462</v>
      </c>
      <c r="N121" s="734" t="s">
        <v>463</v>
      </c>
      <c r="O121" s="1022" t="s">
        <v>464</v>
      </c>
      <c r="P121" s="1024"/>
      <c r="Q121" s="734" t="s">
        <v>465</v>
      </c>
      <c r="R121" s="734" t="s">
        <v>466</v>
      </c>
    </row>
    <row r="122" spans="1:18" s="491" customFormat="1" ht="15">
      <c r="B122" s="1025">
        <v>5</v>
      </c>
      <c r="C122" s="1044" t="s">
        <v>404</v>
      </c>
      <c r="D122" s="1038"/>
      <c r="E122" s="1044" t="s">
        <v>382</v>
      </c>
      <c r="F122" s="1050"/>
      <c r="G122" s="1045"/>
      <c r="H122" s="1044" t="s">
        <v>383</v>
      </c>
      <c r="I122" s="1045"/>
      <c r="J122" s="736">
        <v>657040.4</v>
      </c>
      <c r="K122" s="1046">
        <v>8.7249999999999996</v>
      </c>
      <c r="L122" s="1047"/>
      <c r="M122" s="736">
        <v>9.42</v>
      </c>
      <c r="N122" s="736">
        <v>8.0299999999999994</v>
      </c>
      <c r="O122" s="1046">
        <v>8.7249999999999996</v>
      </c>
      <c r="P122" s="1047"/>
      <c r="Q122" s="736">
        <v>9.42</v>
      </c>
      <c r="R122" s="736">
        <v>8.0299999999999994</v>
      </c>
    </row>
    <row r="123" spans="1:18" s="491" customFormat="1" ht="15">
      <c r="B123" s="1026"/>
      <c r="C123" s="1039"/>
      <c r="D123" s="1040"/>
      <c r="E123" s="1044" t="s">
        <v>384</v>
      </c>
      <c r="F123" s="1050"/>
      <c r="G123" s="1045"/>
      <c r="H123" s="1044" t="s">
        <v>385</v>
      </c>
      <c r="I123" s="1045"/>
      <c r="J123" s="737"/>
      <c r="K123" s="1046">
        <v>8.7249999999999996</v>
      </c>
      <c r="L123" s="1047"/>
      <c r="M123" s="736">
        <v>9.42</v>
      </c>
      <c r="N123" s="736">
        <v>8.0299999999999994</v>
      </c>
      <c r="O123" s="1046">
        <v>8.7249999999999996</v>
      </c>
      <c r="P123" s="1047"/>
      <c r="Q123" s="736">
        <v>9.42</v>
      </c>
      <c r="R123" s="736">
        <v>8.0299999999999994</v>
      </c>
    </row>
    <row r="124" spans="1:18" s="491" customFormat="1" ht="15">
      <c r="B124" s="1026"/>
      <c r="C124" s="1039"/>
      <c r="D124" s="1040"/>
      <c r="E124" s="1044" t="s">
        <v>386</v>
      </c>
      <c r="F124" s="1050"/>
      <c r="G124" s="1045"/>
      <c r="H124" s="1044" t="s">
        <v>387</v>
      </c>
      <c r="I124" s="1045"/>
      <c r="J124" s="737"/>
      <c r="K124" s="1046">
        <v>8.7249999999999996</v>
      </c>
      <c r="L124" s="1047"/>
      <c r="M124" s="736">
        <v>9.42</v>
      </c>
      <c r="N124" s="736">
        <v>8.0299999999999994</v>
      </c>
      <c r="O124" s="1046">
        <v>8.7249999999999996</v>
      </c>
      <c r="P124" s="1047"/>
      <c r="Q124" s="736">
        <v>9.42</v>
      </c>
      <c r="R124" s="736">
        <v>8.0299999999999994</v>
      </c>
    </row>
    <row r="125" spans="1:18" s="491" customFormat="1" ht="15">
      <c r="B125" s="1026"/>
      <c r="C125" s="1039"/>
      <c r="D125" s="1040"/>
      <c r="E125" s="1044" t="s">
        <v>388</v>
      </c>
      <c r="F125" s="1050"/>
      <c r="G125" s="1045"/>
      <c r="H125" s="1044" t="s">
        <v>389</v>
      </c>
      <c r="I125" s="1045"/>
      <c r="J125" s="737"/>
      <c r="K125" s="1046">
        <v>8.7249999999999996</v>
      </c>
      <c r="L125" s="1047"/>
      <c r="M125" s="736">
        <v>9.42</v>
      </c>
      <c r="N125" s="736">
        <v>8.0299999999999994</v>
      </c>
      <c r="O125" s="1046">
        <v>8.7249999999999996</v>
      </c>
      <c r="P125" s="1047"/>
      <c r="Q125" s="736">
        <v>9.42</v>
      </c>
      <c r="R125" s="736">
        <v>8.0299999999999994</v>
      </c>
    </row>
    <row r="126" spans="1:18" s="491" customFormat="1" ht="15">
      <c r="B126" s="1026"/>
      <c r="C126" s="1039"/>
      <c r="D126" s="1040"/>
      <c r="E126" s="1044" t="s">
        <v>390</v>
      </c>
      <c r="F126" s="1050"/>
      <c r="G126" s="1045"/>
      <c r="H126" s="1044" t="s">
        <v>391</v>
      </c>
      <c r="I126" s="1045"/>
      <c r="J126" s="737"/>
      <c r="K126" s="1046">
        <v>8.7249999999999996</v>
      </c>
      <c r="L126" s="1047"/>
      <c r="M126" s="736">
        <v>9.42</v>
      </c>
      <c r="N126" s="736">
        <v>8.0299999999999994</v>
      </c>
      <c r="O126" s="1046">
        <v>8.7249999999999996</v>
      </c>
      <c r="P126" s="1047"/>
      <c r="Q126" s="736">
        <v>9.42</v>
      </c>
      <c r="R126" s="736">
        <v>8.0299999999999994</v>
      </c>
    </row>
    <row r="127" spans="1:18" s="491" customFormat="1" ht="15">
      <c r="B127" s="1026"/>
      <c r="C127" s="1039"/>
      <c r="D127" s="1040"/>
      <c r="E127" s="1044" t="s">
        <v>188</v>
      </c>
      <c r="F127" s="1050"/>
      <c r="G127" s="1045"/>
      <c r="H127" s="1044" t="s">
        <v>189</v>
      </c>
      <c r="I127" s="1045"/>
      <c r="J127" s="737"/>
      <c r="K127" s="1046">
        <v>9.3000000000000007</v>
      </c>
      <c r="L127" s="1047"/>
      <c r="M127" s="736">
        <v>9.3000000000000007</v>
      </c>
      <c r="N127" s="736">
        <v>9.3000000000000007</v>
      </c>
      <c r="O127" s="1046">
        <v>9.3000000000000007</v>
      </c>
      <c r="P127" s="1047"/>
      <c r="Q127" s="736">
        <v>9.3000000000000007</v>
      </c>
      <c r="R127" s="736">
        <v>9.3000000000000007</v>
      </c>
    </row>
    <row r="128" spans="1:18" s="491" customFormat="1" ht="15">
      <c r="B128" s="1026"/>
      <c r="C128" s="1039"/>
      <c r="D128" s="1040"/>
      <c r="E128" s="1044" t="s">
        <v>406</v>
      </c>
      <c r="F128" s="1050"/>
      <c r="G128" s="1045"/>
      <c r="H128" s="1044" t="s">
        <v>407</v>
      </c>
      <c r="I128" s="1045"/>
      <c r="J128" s="736">
        <v>5070</v>
      </c>
      <c r="K128" s="1046">
        <v>4.1399999999999997</v>
      </c>
      <c r="L128" s="1047"/>
      <c r="M128" s="736">
        <v>5.64</v>
      </c>
      <c r="N128" s="736">
        <v>2.64</v>
      </c>
      <c r="O128" s="1046">
        <v>4.1399999999999997</v>
      </c>
      <c r="P128" s="1047"/>
      <c r="Q128" s="736">
        <v>5.64</v>
      </c>
      <c r="R128" s="736">
        <v>2.64</v>
      </c>
    </row>
    <row r="129" spans="2:18" s="491" customFormat="1" ht="15">
      <c r="B129" s="1026"/>
      <c r="C129" s="1039"/>
      <c r="D129" s="1040"/>
      <c r="E129" s="1044" t="s">
        <v>258</v>
      </c>
      <c r="F129" s="1050"/>
      <c r="G129" s="1045"/>
      <c r="H129" s="1044" t="s">
        <v>259</v>
      </c>
      <c r="I129" s="1045"/>
      <c r="J129" s="736">
        <v>28389</v>
      </c>
      <c r="K129" s="1046">
        <v>82.51</v>
      </c>
      <c r="L129" s="1047"/>
      <c r="M129" s="736">
        <v>90.99</v>
      </c>
      <c r="N129" s="736">
        <v>74.03</v>
      </c>
      <c r="O129" s="1046">
        <v>82.51</v>
      </c>
      <c r="P129" s="1047"/>
      <c r="Q129" s="736">
        <v>90.99</v>
      </c>
      <c r="R129" s="736">
        <v>74.03</v>
      </c>
    </row>
    <row r="130" spans="2:18" s="491" customFormat="1" ht="15">
      <c r="B130" s="1026"/>
      <c r="C130" s="1039"/>
      <c r="D130" s="1040"/>
      <c r="E130" s="1044" t="s">
        <v>408</v>
      </c>
      <c r="F130" s="1050"/>
      <c r="G130" s="1045"/>
      <c r="H130" s="1044" t="s">
        <v>409</v>
      </c>
      <c r="I130" s="1045"/>
      <c r="J130" s="736">
        <v>15212</v>
      </c>
      <c r="K130" s="1046">
        <v>20.420000000000002</v>
      </c>
      <c r="L130" s="1047"/>
      <c r="M130" s="736">
        <v>22.6</v>
      </c>
      <c r="N130" s="736">
        <v>18.239999999999998</v>
      </c>
      <c r="O130" s="1046">
        <v>20.420000000000002</v>
      </c>
      <c r="P130" s="1047"/>
      <c r="Q130" s="736">
        <v>22.6</v>
      </c>
      <c r="R130" s="736">
        <v>18.239999999999998</v>
      </c>
    </row>
    <row r="131" spans="2:18" s="491" customFormat="1" ht="15">
      <c r="B131" s="1026"/>
      <c r="C131" s="1039"/>
      <c r="D131" s="1040"/>
      <c r="E131" s="1044" t="s">
        <v>410</v>
      </c>
      <c r="F131" s="1050"/>
      <c r="G131" s="1045"/>
      <c r="H131" s="1044" t="s">
        <v>411</v>
      </c>
      <c r="I131" s="1045"/>
      <c r="J131" s="737"/>
      <c r="K131" s="1046">
        <v>26.75</v>
      </c>
      <c r="L131" s="1047"/>
      <c r="M131" s="736">
        <v>26.75</v>
      </c>
      <c r="N131" s="736">
        <v>26.75</v>
      </c>
      <c r="O131" s="1046">
        <v>26.75</v>
      </c>
      <c r="P131" s="1047"/>
      <c r="Q131" s="736">
        <v>26.75</v>
      </c>
      <c r="R131" s="736">
        <v>26.75</v>
      </c>
    </row>
    <row r="132" spans="2:18" s="491" customFormat="1" ht="15">
      <c r="B132" s="1026"/>
      <c r="C132" s="1041"/>
      <c r="D132" s="1043"/>
      <c r="E132" s="1036" t="s">
        <v>467</v>
      </c>
      <c r="F132" s="1050"/>
      <c r="G132" s="1045"/>
      <c r="H132" s="1036" t="s">
        <v>412</v>
      </c>
      <c r="I132" s="1045"/>
      <c r="J132" s="739">
        <v>705711.4</v>
      </c>
      <c r="K132" s="1048" t="s">
        <v>412</v>
      </c>
      <c r="L132" s="1047"/>
      <c r="M132" s="737" t="s">
        <v>412</v>
      </c>
      <c r="N132" s="737" t="s">
        <v>412</v>
      </c>
      <c r="O132" s="1048" t="s">
        <v>412</v>
      </c>
      <c r="P132" s="1047"/>
      <c r="Q132" s="737" t="s">
        <v>412</v>
      </c>
      <c r="R132" s="737" t="s">
        <v>412</v>
      </c>
    </row>
    <row r="133" spans="2:18" s="491" customFormat="1" ht="15">
      <c r="B133" s="1026"/>
      <c r="C133" s="1044" t="s">
        <v>414</v>
      </c>
      <c r="D133" s="1038"/>
      <c r="E133" s="1044" t="s">
        <v>188</v>
      </c>
      <c r="F133" s="1050"/>
      <c r="G133" s="1045"/>
      <c r="H133" s="1044" t="s">
        <v>189</v>
      </c>
      <c r="I133" s="1045"/>
      <c r="J133" s="736">
        <v>0</v>
      </c>
      <c r="K133" s="1046">
        <v>9.1300000000000008</v>
      </c>
      <c r="L133" s="1047"/>
      <c r="M133" s="736">
        <v>8.9600000000000009</v>
      </c>
      <c r="N133" s="736">
        <v>9.1300000000000008</v>
      </c>
      <c r="O133" s="1046">
        <v>9.3000000000000007</v>
      </c>
      <c r="P133" s="1047"/>
      <c r="Q133" s="736">
        <v>9.3000000000000007</v>
      </c>
      <c r="R133" s="736">
        <v>8.9600000000000009</v>
      </c>
    </row>
    <row r="134" spans="2:18" s="491" customFormat="1" ht="15">
      <c r="B134" s="1026"/>
      <c r="C134" s="1039"/>
      <c r="D134" s="1040"/>
      <c r="E134" s="1044" t="s">
        <v>192</v>
      </c>
      <c r="F134" s="1050"/>
      <c r="G134" s="1045"/>
      <c r="H134" s="1044" t="s">
        <v>193</v>
      </c>
      <c r="I134" s="1045"/>
      <c r="J134" s="736">
        <v>2961393.6</v>
      </c>
      <c r="K134" s="1046">
        <v>9.1300000000000008</v>
      </c>
      <c r="L134" s="1047"/>
      <c r="M134" s="736">
        <v>8.9600000000000009</v>
      </c>
      <c r="N134" s="736">
        <v>9.1300000000000008</v>
      </c>
      <c r="O134" s="1046">
        <v>9.3000000000000007</v>
      </c>
      <c r="P134" s="1047"/>
      <c r="Q134" s="736">
        <v>9.3000000000000007</v>
      </c>
      <c r="R134" s="736">
        <v>8.9600000000000009</v>
      </c>
    </row>
    <row r="135" spans="2:18" s="491" customFormat="1" ht="15">
      <c r="B135" s="1026"/>
      <c r="C135" s="1039"/>
      <c r="D135" s="1040"/>
      <c r="E135" s="1044" t="s">
        <v>392</v>
      </c>
      <c r="F135" s="1050"/>
      <c r="G135" s="1045"/>
      <c r="H135" s="1044" t="s">
        <v>393</v>
      </c>
      <c r="I135" s="1045"/>
      <c r="J135" s="736">
        <v>0</v>
      </c>
      <c r="K135" s="1046">
        <v>9.1300000000000008</v>
      </c>
      <c r="L135" s="1047"/>
      <c r="M135" s="736">
        <v>8.9600000000000009</v>
      </c>
      <c r="N135" s="736">
        <v>9.1300000000000008</v>
      </c>
      <c r="O135" s="1046">
        <v>9.3000000000000007</v>
      </c>
      <c r="P135" s="1047"/>
      <c r="Q135" s="736">
        <v>9.3000000000000007</v>
      </c>
      <c r="R135" s="736">
        <v>8.9600000000000009</v>
      </c>
    </row>
    <row r="136" spans="2:18" s="491" customFormat="1" ht="15">
      <c r="B136" s="1026"/>
      <c r="C136" s="1039"/>
      <c r="D136" s="1040"/>
      <c r="E136" s="1044" t="s">
        <v>406</v>
      </c>
      <c r="F136" s="1050"/>
      <c r="G136" s="1045"/>
      <c r="H136" s="1044" t="s">
        <v>407</v>
      </c>
      <c r="I136" s="1045"/>
      <c r="J136" s="736">
        <v>5021</v>
      </c>
      <c r="K136" s="1046">
        <v>4.1399999999999997</v>
      </c>
      <c r="L136" s="1047"/>
      <c r="M136" s="736">
        <v>2.64</v>
      </c>
      <c r="N136" s="736">
        <v>4.1399999999999997</v>
      </c>
      <c r="O136" s="1046">
        <v>5.64</v>
      </c>
      <c r="P136" s="1047"/>
      <c r="Q136" s="736">
        <v>5.64</v>
      </c>
      <c r="R136" s="736">
        <v>2.64</v>
      </c>
    </row>
    <row r="137" spans="2:18" s="491" customFormat="1" ht="15">
      <c r="B137" s="1026"/>
      <c r="C137" s="1039"/>
      <c r="D137" s="1040"/>
      <c r="E137" s="1044" t="s">
        <v>258</v>
      </c>
      <c r="F137" s="1050"/>
      <c r="G137" s="1045"/>
      <c r="H137" s="1044" t="s">
        <v>259</v>
      </c>
      <c r="I137" s="1045"/>
      <c r="J137" s="736">
        <v>27792</v>
      </c>
      <c r="K137" s="1046">
        <v>82.69</v>
      </c>
      <c r="L137" s="1047"/>
      <c r="M137" s="736">
        <v>74.03</v>
      </c>
      <c r="N137" s="736">
        <v>82.69</v>
      </c>
      <c r="O137" s="1046">
        <v>91.34</v>
      </c>
      <c r="P137" s="1047"/>
      <c r="Q137" s="736">
        <v>91.34</v>
      </c>
      <c r="R137" s="736">
        <v>74.03</v>
      </c>
    </row>
    <row r="138" spans="2:18" s="491" customFormat="1" ht="15">
      <c r="B138" s="1026"/>
      <c r="C138" s="1039"/>
      <c r="D138" s="1040"/>
      <c r="E138" s="1044" t="s">
        <v>408</v>
      </c>
      <c r="F138" s="1050"/>
      <c r="G138" s="1045"/>
      <c r="H138" s="1044" t="s">
        <v>409</v>
      </c>
      <c r="I138" s="1045"/>
      <c r="J138" s="736">
        <v>13042</v>
      </c>
      <c r="K138" s="1046">
        <v>21.44</v>
      </c>
      <c r="L138" s="1047"/>
      <c r="M138" s="736">
        <v>20.28</v>
      </c>
      <c r="N138" s="736">
        <v>21.44</v>
      </c>
      <c r="O138" s="1046">
        <v>22.6</v>
      </c>
      <c r="P138" s="1047"/>
      <c r="Q138" s="736">
        <v>22.6</v>
      </c>
      <c r="R138" s="736">
        <v>20.28</v>
      </c>
    </row>
    <row r="139" spans="2:18" s="491" customFormat="1" ht="15">
      <c r="B139" s="1026"/>
      <c r="C139" s="1039"/>
      <c r="D139" s="1040"/>
      <c r="E139" s="1044" t="s">
        <v>410</v>
      </c>
      <c r="F139" s="1050"/>
      <c r="G139" s="1045"/>
      <c r="H139" s="1044" t="s">
        <v>411</v>
      </c>
      <c r="I139" s="1045"/>
      <c r="J139" s="737"/>
      <c r="K139" s="1046">
        <v>26.75</v>
      </c>
      <c r="L139" s="1047"/>
      <c r="M139" s="736">
        <v>26.75</v>
      </c>
      <c r="N139" s="736">
        <v>26.75</v>
      </c>
      <c r="O139" s="1046">
        <v>26.75</v>
      </c>
      <c r="P139" s="1047"/>
      <c r="Q139" s="736">
        <v>26.75</v>
      </c>
      <c r="R139" s="736">
        <v>26.75</v>
      </c>
    </row>
    <row r="140" spans="2:18" s="491" customFormat="1" ht="15">
      <c r="B140" s="1026"/>
      <c r="C140" s="1041"/>
      <c r="D140" s="1043"/>
      <c r="E140" s="1036" t="s">
        <v>467</v>
      </c>
      <c r="F140" s="1050"/>
      <c r="G140" s="1045"/>
      <c r="H140" s="1036" t="s">
        <v>412</v>
      </c>
      <c r="I140" s="1045"/>
      <c r="J140" s="739">
        <v>3007248.6</v>
      </c>
      <c r="K140" s="1048" t="s">
        <v>412</v>
      </c>
      <c r="L140" s="1047"/>
      <c r="M140" s="737" t="s">
        <v>412</v>
      </c>
      <c r="N140" s="737" t="s">
        <v>412</v>
      </c>
      <c r="O140" s="1048" t="s">
        <v>412</v>
      </c>
      <c r="P140" s="1047"/>
      <c r="Q140" s="737" t="s">
        <v>412</v>
      </c>
      <c r="R140" s="737" t="s">
        <v>412</v>
      </c>
    </row>
    <row r="141" spans="2:18" s="491" customFormat="1" ht="15">
      <c r="B141" s="1026"/>
      <c r="C141" s="1044" t="s">
        <v>415</v>
      </c>
      <c r="D141" s="1038"/>
      <c r="E141" s="1044" t="s">
        <v>206</v>
      </c>
      <c r="F141" s="1050"/>
      <c r="G141" s="1045"/>
      <c r="H141" s="1044" t="s">
        <v>207</v>
      </c>
      <c r="I141" s="1045"/>
      <c r="J141" s="736">
        <v>429020</v>
      </c>
      <c r="K141" s="1053">
        <v>151.11000000000001</v>
      </c>
      <c r="L141" s="1047"/>
      <c r="M141" s="736">
        <v>148.06</v>
      </c>
      <c r="N141" s="736">
        <v>151.11000000000001</v>
      </c>
      <c r="O141" s="1053">
        <v>154.15</v>
      </c>
      <c r="P141" s="1047"/>
      <c r="Q141" s="736">
        <v>154.15</v>
      </c>
      <c r="R141" s="736">
        <v>148.06</v>
      </c>
    </row>
    <row r="142" spans="2:18" s="491" customFormat="1" ht="15">
      <c r="B142" s="1026"/>
      <c r="C142" s="1039"/>
      <c r="D142" s="1040"/>
      <c r="E142" s="1044" t="s">
        <v>172</v>
      </c>
      <c r="F142" s="1050"/>
      <c r="G142" s="1045"/>
      <c r="H142" s="1044" t="s">
        <v>173</v>
      </c>
      <c r="I142" s="1045"/>
      <c r="J142" s="736">
        <v>315406</v>
      </c>
      <c r="K142" s="1053">
        <v>68.37</v>
      </c>
      <c r="L142" s="1047"/>
      <c r="M142" s="736">
        <v>68.37</v>
      </c>
      <c r="N142" s="736">
        <v>68.37</v>
      </c>
      <c r="O142" s="1053">
        <v>68.37</v>
      </c>
      <c r="P142" s="1047"/>
      <c r="Q142" s="736">
        <v>68.37</v>
      </c>
      <c r="R142" s="736">
        <v>68.37</v>
      </c>
    </row>
    <row r="143" spans="2:18" s="491" customFormat="1" ht="15">
      <c r="B143" s="1026"/>
      <c r="C143" s="1039"/>
      <c r="D143" s="1040"/>
      <c r="E143" s="1044" t="s">
        <v>138</v>
      </c>
      <c r="F143" s="1050"/>
      <c r="G143" s="1045"/>
      <c r="H143" s="1044" t="s">
        <v>139</v>
      </c>
      <c r="I143" s="1045"/>
      <c r="J143" s="736">
        <v>43862</v>
      </c>
      <c r="K143" s="1053">
        <v>1.1299999999999999</v>
      </c>
      <c r="L143" s="1047"/>
      <c r="M143" s="736">
        <v>1.1299999999999999</v>
      </c>
      <c r="N143" s="736">
        <v>1.1299999999999999</v>
      </c>
      <c r="O143" s="1053">
        <v>1.1299999999999999</v>
      </c>
      <c r="P143" s="1047"/>
      <c r="Q143" s="736">
        <v>1.1299999999999999</v>
      </c>
      <c r="R143" s="736">
        <v>1.1299999999999999</v>
      </c>
    </row>
    <row r="144" spans="2:18" s="491" customFormat="1" ht="15">
      <c r="B144" s="1026"/>
      <c r="C144" s="1039"/>
      <c r="D144" s="1040"/>
      <c r="E144" s="1044" t="s">
        <v>416</v>
      </c>
      <c r="F144" s="1050"/>
      <c r="G144" s="1045"/>
      <c r="H144" s="1044" t="s">
        <v>417</v>
      </c>
      <c r="I144" s="1045"/>
      <c r="J144" s="736">
        <v>13000</v>
      </c>
      <c r="K144" s="1053">
        <v>73.39</v>
      </c>
      <c r="L144" s="1047"/>
      <c r="M144" s="736">
        <v>73.39</v>
      </c>
      <c r="N144" s="736">
        <v>73.39</v>
      </c>
      <c r="O144" s="1053">
        <v>73.39</v>
      </c>
      <c r="P144" s="1047"/>
      <c r="Q144" s="736">
        <v>73.39</v>
      </c>
      <c r="R144" s="736">
        <v>73.39</v>
      </c>
    </row>
    <row r="145" spans="2:18" s="491" customFormat="1" ht="15">
      <c r="B145" s="1026"/>
      <c r="C145" s="1039"/>
      <c r="D145" s="1040"/>
      <c r="E145" s="1044" t="s">
        <v>418</v>
      </c>
      <c r="F145" s="1050"/>
      <c r="G145" s="1045"/>
      <c r="H145" s="1044" t="s">
        <v>419</v>
      </c>
      <c r="I145" s="1045"/>
      <c r="J145" s="736">
        <v>4000</v>
      </c>
      <c r="K145" s="1053">
        <v>139.05000000000001</v>
      </c>
      <c r="L145" s="1047"/>
      <c r="M145" s="736">
        <v>139.05000000000001</v>
      </c>
      <c r="N145" s="736">
        <v>139.05000000000001</v>
      </c>
      <c r="O145" s="1053">
        <v>139.05000000000001</v>
      </c>
      <c r="P145" s="1047"/>
      <c r="Q145" s="736">
        <v>139.05000000000001</v>
      </c>
      <c r="R145" s="736">
        <v>139.05000000000001</v>
      </c>
    </row>
    <row r="146" spans="2:18" s="491" customFormat="1" ht="15">
      <c r="B146" s="1026"/>
      <c r="C146" s="1039"/>
      <c r="D146" s="1040"/>
      <c r="E146" s="1044" t="s">
        <v>164</v>
      </c>
      <c r="F146" s="1050"/>
      <c r="G146" s="1045"/>
      <c r="H146" s="1044" t="s">
        <v>165</v>
      </c>
      <c r="I146" s="1045"/>
      <c r="J146" s="736">
        <v>378220</v>
      </c>
      <c r="K146" s="1053">
        <v>38.74</v>
      </c>
      <c r="L146" s="1047"/>
      <c r="M146" s="736">
        <v>38.74</v>
      </c>
      <c r="N146" s="736">
        <v>38.74</v>
      </c>
      <c r="O146" s="1053">
        <v>38.74</v>
      </c>
      <c r="P146" s="1047"/>
      <c r="Q146" s="736">
        <v>38.74</v>
      </c>
      <c r="R146" s="736">
        <v>38.74</v>
      </c>
    </row>
    <row r="147" spans="2:18" s="491" customFormat="1" ht="15">
      <c r="B147" s="1026"/>
      <c r="C147" s="1039"/>
      <c r="D147" s="1040"/>
      <c r="E147" s="1044" t="s">
        <v>321</v>
      </c>
      <c r="F147" s="1050"/>
      <c r="G147" s="1045"/>
      <c r="H147" s="1044" t="s">
        <v>322</v>
      </c>
      <c r="I147" s="1045"/>
      <c r="J147" s="736">
        <v>347711</v>
      </c>
      <c r="K147" s="1053">
        <v>28.2</v>
      </c>
      <c r="L147" s="1047"/>
      <c r="M147" s="736">
        <v>28.2</v>
      </c>
      <c r="N147" s="736">
        <v>28.2</v>
      </c>
      <c r="O147" s="1053">
        <v>28.2</v>
      </c>
      <c r="P147" s="1047"/>
      <c r="Q147" s="736">
        <v>28.2</v>
      </c>
      <c r="R147" s="736">
        <v>28.2</v>
      </c>
    </row>
    <row r="148" spans="2:18" s="491" customFormat="1" ht="15">
      <c r="B148" s="1026"/>
      <c r="C148" s="1039"/>
      <c r="D148" s="1040"/>
      <c r="E148" s="1044" t="s">
        <v>225</v>
      </c>
      <c r="F148" s="1050"/>
      <c r="G148" s="1045"/>
      <c r="H148" s="1044" t="s">
        <v>226</v>
      </c>
      <c r="I148" s="1045"/>
      <c r="J148" s="736">
        <v>143165</v>
      </c>
      <c r="K148" s="1053">
        <v>100</v>
      </c>
      <c r="L148" s="1047"/>
      <c r="M148" s="736">
        <v>100</v>
      </c>
      <c r="N148" s="736">
        <v>100</v>
      </c>
      <c r="O148" s="1053">
        <v>100</v>
      </c>
      <c r="P148" s="1047"/>
      <c r="Q148" s="736">
        <v>100</v>
      </c>
      <c r="R148" s="736">
        <v>100</v>
      </c>
    </row>
    <row r="149" spans="2:18" s="491" customFormat="1" ht="15">
      <c r="B149" s="1026"/>
      <c r="C149" s="1039"/>
      <c r="D149" s="1040"/>
      <c r="E149" s="1044" t="s">
        <v>395</v>
      </c>
      <c r="F149" s="1050"/>
      <c r="G149" s="1045"/>
      <c r="H149" s="1044" t="s">
        <v>396</v>
      </c>
      <c r="I149" s="1045"/>
      <c r="J149" s="736">
        <v>138138</v>
      </c>
      <c r="K149" s="1053">
        <v>105.6</v>
      </c>
      <c r="L149" s="1047"/>
      <c r="M149" s="736">
        <v>100.2</v>
      </c>
      <c r="N149" s="736">
        <v>111</v>
      </c>
      <c r="O149" s="1053">
        <v>111</v>
      </c>
      <c r="P149" s="1047"/>
      <c r="Q149" s="736">
        <v>111</v>
      </c>
      <c r="R149" s="736">
        <v>111</v>
      </c>
    </row>
    <row r="150" spans="2:18" s="491" customFormat="1" ht="15">
      <c r="B150" s="1026"/>
      <c r="C150" s="1039"/>
      <c r="D150" s="1040"/>
      <c r="E150" s="1044" t="s">
        <v>158</v>
      </c>
      <c r="F150" s="1050"/>
      <c r="G150" s="1045"/>
      <c r="H150" s="1074" t="s">
        <v>159</v>
      </c>
      <c r="I150" s="1075"/>
      <c r="J150" s="736">
        <v>185116</v>
      </c>
      <c r="K150" s="1053">
        <v>113</v>
      </c>
      <c r="L150" s="1047"/>
      <c r="M150" s="736">
        <v>113</v>
      </c>
      <c r="N150" s="736">
        <v>113</v>
      </c>
      <c r="O150" s="1053">
        <v>113</v>
      </c>
      <c r="P150" s="1047"/>
      <c r="Q150" s="736">
        <v>113</v>
      </c>
      <c r="R150" s="736">
        <v>113</v>
      </c>
    </row>
    <row r="151" spans="2:18" s="491" customFormat="1" ht="15">
      <c r="B151" s="1026"/>
      <c r="C151" s="1039"/>
      <c r="D151" s="1040"/>
      <c r="E151" s="1044" t="s">
        <v>408</v>
      </c>
      <c r="F151" s="1050"/>
      <c r="G151" s="1045"/>
      <c r="H151" s="1044" t="s">
        <v>409</v>
      </c>
      <c r="I151" s="1045"/>
      <c r="J151" s="736">
        <v>65327</v>
      </c>
      <c r="K151" s="1053">
        <v>88.9</v>
      </c>
      <c r="L151" s="1047"/>
      <c r="M151" s="736">
        <v>88.9</v>
      </c>
      <c r="N151" s="736">
        <v>88.9</v>
      </c>
      <c r="O151" s="1053">
        <v>88.9</v>
      </c>
      <c r="P151" s="1047"/>
      <c r="Q151" s="736">
        <v>88.9</v>
      </c>
      <c r="R151" s="736">
        <v>88.9</v>
      </c>
    </row>
    <row r="152" spans="2:18" s="491" customFormat="1" ht="15">
      <c r="B152" s="1026"/>
      <c r="C152" s="1039"/>
      <c r="D152" s="1040"/>
      <c r="E152" s="1044" t="s">
        <v>420</v>
      </c>
      <c r="F152" s="1050"/>
      <c r="G152" s="1045"/>
      <c r="H152" s="1044" t="s">
        <v>421</v>
      </c>
      <c r="I152" s="1045"/>
      <c r="J152" s="736">
        <v>15000</v>
      </c>
      <c r="K152" s="1053">
        <v>0</v>
      </c>
      <c r="L152" s="1047"/>
      <c r="M152" s="736">
        <v>0</v>
      </c>
      <c r="N152" s="736">
        <v>0</v>
      </c>
      <c r="O152" s="736"/>
      <c r="P152" s="736">
        <v>0</v>
      </c>
      <c r="Q152" s="736">
        <v>0</v>
      </c>
      <c r="R152" s="736">
        <v>0</v>
      </c>
    </row>
    <row r="153" spans="2:18" s="491" customFormat="1" ht="15">
      <c r="B153" s="1026"/>
      <c r="C153" s="1039"/>
      <c r="D153" s="1040"/>
      <c r="E153" s="1044" t="s">
        <v>323</v>
      </c>
      <c r="F153" s="1050"/>
      <c r="G153" s="1045"/>
      <c r="H153" s="1044" t="s">
        <v>324</v>
      </c>
      <c r="I153" s="1045"/>
      <c r="J153" s="736">
        <v>174219</v>
      </c>
      <c r="K153" s="1053">
        <v>28.2</v>
      </c>
      <c r="L153" s="1047"/>
      <c r="M153" s="736">
        <v>28.2</v>
      </c>
      <c r="N153" s="736">
        <v>28.2</v>
      </c>
      <c r="O153" s="1053">
        <v>28.2</v>
      </c>
      <c r="P153" s="1047"/>
      <c r="Q153" s="736">
        <v>28.2</v>
      </c>
      <c r="R153" s="736">
        <v>28.2</v>
      </c>
    </row>
    <row r="154" spans="2:18" s="491" customFormat="1" ht="15">
      <c r="B154" s="1026"/>
      <c r="C154" s="1039"/>
      <c r="D154" s="1040"/>
      <c r="E154" s="1044" t="s">
        <v>254</v>
      </c>
      <c r="F154" s="1050"/>
      <c r="G154" s="1045"/>
      <c r="H154" s="1044" t="s">
        <v>255</v>
      </c>
      <c r="I154" s="1045"/>
      <c r="J154" s="736">
        <v>0</v>
      </c>
      <c r="K154" s="1053">
        <v>26.75</v>
      </c>
      <c r="L154" s="1047"/>
      <c r="M154" s="736">
        <v>26.75</v>
      </c>
      <c r="N154" s="736">
        <v>26.75</v>
      </c>
      <c r="O154" s="1053">
        <v>26.75</v>
      </c>
      <c r="P154" s="1047"/>
      <c r="Q154" s="736">
        <v>26.75</v>
      </c>
      <c r="R154" s="736">
        <v>26.75</v>
      </c>
    </row>
    <row r="155" spans="2:18" s="491" customFormat="1" ht="15">
      <c r="B155" s="1026"/>
      <c r="C155" s="1039"/>
      <c r="D155" s="1040"/>
      <c r="E155" s="1044" t="s">
        <v>422</v>
      </c>
      <c r="F155" s="1050"/>
      <c r="G155" s="1045"/>
      <c r="H155" s="1044" t="s">
        <v>423</v>
      </c>
      <c r="I155" s="1045"/>
      <c r="J155" s="736">
        <v>5050</v>
      </c>
      <c r="K155" s="1053">
        <v>0</v>
      </c>
      <c r="L155" s="1047"/>
      <c r="M155" s="736">
        <v>0</v>
      </c>
      <c r="N155" s="736">
        <v>0</v>
      </c>
      <c r="O155" s="736"/>
      <c r="P155" s="736">
        <v>0</v>
      </c>
      <c r="Q155" s="736">
        <v>0</v>
      </c>
      <c r="R155" s="736">
        <v>0</v>
      </c>
    </row>
    <row r="156" spans="2:18" s="491" customFormat="1" ht="15">
      <c r="B156" s="1026"/>
      <c r="C156" s="1039"/>
      <c r="D156" s="1040"/>
      <c r="E156" s="1044" t="s">
        <v>424</v>
      </c>
      <c r="F156" s="1050"/>
      <c r="G156" s="1045"/>
      <c r="H156" s="1044" t="s">
        <v>425</v>
      </c>
      <c r="I156" s="1045"/>
      <c r="J156" s="736">
        <v>5050</v>
      </c>
      <c r="K156" s="1053">
        <v>0</v>
      </c>
      <c r="L156" s="1047"/>
      <c r="M156" s="736">
        <v>0</v>
      </c>
      <c r="N156" s="736">
        <v>0</v>
      </c>
      <c r="O156" s="736"/>
      <c r="P156" s="736">
        <v>0</v>
      </c>
      <c r="Q156" s="736">
        <v>0</v>
      </c>
      <c r="R156" s="736">
        <v>0</v>
      </c>
    </row>
    <row r="157" spans="2:18" s="491" customFormat="1" ht="15">
      <c r="B157" s="1026"/>
      <c r="C157" s="1039"/>
      <c r="D157" s="1040"/>
      <c r="E157" s="1044" t="s">
        <v>426</v>
      </c>
      <c r="F157" s="1050"/>
      <c r="G157" s="1045"/>
      <c r="H157" s="1044" t="s">
        <v>427</v>
      </c>
      <c r="I157" s="1045"/>
      <c r="J157" s="736">
        <v>5050</v>
      </c>
      <c r="K157" s="1053">
        <v>0</v>
      </c>
      <c r="L157" s="1047"/>
      <c r="M157" s="736">
        <v>0</v>
      </c>
      <c r="N157" s="736">
        <v>0</v>
      </c>
      <c r="O157" s="736"/>
      <c r="P157" s="736">
        <v>0</v>
      </c>
      <c r="Q157" s="736">
        <v>0</v>
      </c>
      <c r="R157" s="736">
        <v>0</v>
      </c>
    </row>
    <row r="158" spans="2:18" s="491" customFormat="1" ht="15">
      <c r="B158" s="1026"/>
      <c r="C158" s="1039"/>
      <c r="D158" s="1040"/>
      <c r="E158" s="1044" t="s">
        <v>428</v>
      </c>
      <c r="F158" s="1050"/>
      <c r="G158" s="1045"/>
      <c r="H158" s="1044" t="s">
        <v>429</v>
      </c>
      <c r="I158" s="1045"/>
      <c r="J158" s="736">
        <v>5050</v>
      </c>
      <c r="K158" s="1053">
        <v>0</v>
      </c>
      <c r="L158" s="1047"/>
      <c r="M158" s="736">
        <v>0</v>
      </c>
      <c r="N158" s="736">
        <v>0</v>
      </c>
      <c r="O158" s="736"/>
      <c r="P158" s="736">
        <v>0</v>
      </c>
      <c r="Q158" s="736">
        <v>0</v>
      </c>
      <c r="R158" s="736">
        <v>0</v>
      </c>
    </row>
    <row r="159" spans="2:18" s="491" customFormat="1" ht="15">
      <c r="B159" s="1026"/>
      <c r="C159" s="1039"/>
      <c r="D159" s="1040"/>
      <c r="E159" s="1044" t="s">
        <v>410</v>
      </c>
      <c r="F159" s="1050"/>
      <c r="G159" s="1045"/>
      <c r="H159" s="1044" t="s">
        <v>411</v>
      </c>
      <c r="I159" s="1045"/>
      <c r="J159" s="736">
        <v>8485</v>
      </c>
      <c r="K159" s="1053">
        <v>26.75</v>
      </c>
      <c r="L159" s="1047"/>
      <c r="M159" s="736">
        <v>26.75</v>
      </c>
      <c r="N159" s="736">
        <v>26.75</v>
      </c>
      <c r="O159" s="1053">
        <v>26.75</v>
      </c>
      <c r="P159" s="1047"/>
      <c r="Q159" s="736">
        <v>26.75</v>
      </c>
      <c r="R159" s="736">
        <v>26.75</v>
      </c>
    </row>
    <row r="160" spans="2:18" s="491" customFormat="1" ht="15">
      <c r="B160" s="1026"/>
      <c r="C160" s="1039"/>
      <c r="D160" s="1040"/>
      <c r="E160" s="1044" t="s">
        <v>197</v>
      </c>
      <c r="F160" s="1050"/>
      <c r="G160" s="1045"/>
      <c r="H160" s="1044" t="s">
        <v>198</v>
      </c>
      <c r="I160" s="1045"/>
      <c r="J160" s="736">
        <v>755869</v>
      </c>
      <c r="K160" s="1053">
        <v>31.07</v>
      </c>
      <c r="L160" s="1047"/>
      <c r="M160" s="736">
        <v>29.47</v>
      </c>
      <c r="N160" s="736">
        <v>31.07</v>
      </c>
      <c r="O160" s="1053">
        <v>32.659999999999997</v>
      </c>
      <c r="P160" s="1047"/>
      <c r="Q160" s="736">
        <v>32.659999999999997</v>
      </c>
      <c r="R160" s="736">
        <v>29.47</v>
      </c>
    </row>
    <row r="161" spans="2:18" s="491" customFormat="1" ht="15">
      <c r="B161" s="1026"/>
      <c r="C161" s="1039"/>
      <c r="D161" s="1040"/>
      <c r="E161" s="1044" t="s">
        <v>430</v>
      </c>
      <c r="F161" s="1050"/>
      <c r="G161" s="1045"/>
      <c r="H161" s="1044" t="s">
        <v>431</v>
      </c>
      <c r="I161" s="1045"/>
      <c r="J161" s="737"/>
      <c r="K161" s="1053">
        <v>29.47</v>
      </c>
      <c r="L161" s="1047"/>
      <c r="M161" s="736">
        <v>29.47</v>
      </c>
      <c r="N161" s="736">
        <v>29.47</v>
      </c>
      <c r="O161" s="1053">
        <v>29.47</v>
      </c>
      <c r="P161" s="1047"/>
      <c r="Q161" s="736">
        <v>29.47</v>
      </c>
      <c r="R161" s="736">
        <v>29.47</v>
      </c>
    </row>
    <row r="162" spans="2:18" s="491" customFormat="1" ht="15">
      <c r="B162" s="1026"/>
      <c r="C162" s="1041"/>
      <c r="D162" s="1043"/>
      <c r="E162" s="1036" t="s">
        <v>467</v>
      </c>
      <c r="F162" s="1050"/>
      <c r="G162" s="1045"/>
      <c r="H162" s="1036" t="s">
        <v>412</v>
      </c>
      <c r="I162" s="1045"/>
      <c r="J162" s="739">
        <f>SUM(J141:J161)</f>
        <v>3036738</v>
      </c>
      <c r="K162" s="1048" t="s">
        <v>412</v>
      </c>
      <c r="L162" s="1047"/>
      <c r="M162" s="737" t="s">
        <v>412</v>
      </c>
      <c r="N162" s="737" t="s">
        <v>412</v>
      </c>
      <c r="O162" s="1048" t="s">
        <v>412</v>
      </c>
      <c r="P162" s="1047"/>
      <c r="Q162" s="737" t="s">
        <v>412</v>
      </c>
      <c r="R162" s="737" t="s">
        <v>412</v>
      </c>
    </row>
    <row r="163" spans="2:18" s="491" customFormat="1" ht="15">
      <c r="B163" s="1026"/>
      <c r="C163" s="1044" t="s">
        <v>432</v>
      </c>
      <c r="D163" s="1038"/>
      <c r="E163" s="1044" t="s">
        <v>436</v>
      </c>
      <c r="F163" s="1050"/>
      <c r="G163" s="1045"/>
      <c r="H163" s="1044" t="s">
        <v>437</v>
      </c>
      <c r="I163" s="1045"/>
      <c r="J163" s="736">
        <v>15164</v>
      </c>
      <c r="K163" s="1046">
        <v>3791</v>
      </c>
      <c r="L163" s="1047"/>
      <c r="M163" s="736">
        <v>3791</v>
      </c>
      <c r="N163" s="736">
        <v>3791</v>
      </c>
      <c r="O163" s="1046">
        <v>3791</v>
      </c>
      <c r="P163" s="1047"/>
      <c r="Q163" s="736">
        <v>3791</v>
      </c>
      <c r="R163" s="736">
        <v>3791</v>
      </c>
    </row>
    <row r="164" spans="2:18" s="491" customFormat="1" ht="15">
      <c r="B164" s="1026"/>
      <c r="C164" s="1039"/>
      <c r="D164" s="1040"/>
      <c r="E164" s="1044" t="s">
        <v>438</v>
      </c>
      <c r="F164" s="1050"/>
      <c r="G164" s="1045"/>
      <c r="H164" s="1044" t="s">
        <v>439</v>
      </c>
      <c r="I164" s="1045"/>
      <c r="J164" s="736">
        <v>10155</v>
      </c>
      <c r="K164" s="1046">
        <v>5077.5</v>
      </c>
      <c r="L164" s="1047"/>
      <c r="M164" s="736">
        <v>5077.5</v>
      </c>
      <c r="N164" s="736">
        <v>5077.5</v>
      </c>
      <c r="O164" s="1046">
        <v>5077.5</v>
      </c>
      <c r="P164" s="1047"/>
      <c r="Q164" s="736">
        <v>5077.5</v>
      </c>
      <c r="R164" s="736">
        <v>5077.5</v>
      </c>
    </row>
    <row r="165" spans="2:18" s="491" customFormat="1" ht="15">
      <c r="B165" s="1026"/>
      <c r="C165" s="1039"/>
      <c r="D165" s="1040"/>
      <c r="E165" s="1044" t="s">
        <v>440</v>
      </c>
      <c r="F165" s="1050"/>
      <c r="G165" s="1045"/>
      <c r="H165" s="1044" t="s">
        <v>441</v>
      </c>
      <c r="I165" s="1045"/>
      <c r="J165" s="736">
        <v>10863</v>
      </c>
      <c r="K165" s="1046">
        <v>5431.5</v>
      </c>
      <c r="L165" s="1047"/>
      <c r="M165" s="736">
        <v>5431.5</v>
      </c>
      <c r="N165" s="736">
        <v>5431.5</v>
      </c>
      <c r="O165" s="1046">
        <v>5431.5</v>
      </c>
      <c r="P165" s="1047"/>
      <c r="Q165" s="736">
        <v>5431.5</v>
      </c>
      <c r="R165" s="736">
        <v>5431.5</v>
      </c>
    </row>
    <row r="166" spans="2:18" s="491" customFormat="1" ht="15">
      <c r="B166" s="1026"/>
      <c r="C166" s="1039"/>
      <c r="D166" s="1040"/>
      <c r="E166" s="1044" t="s">
        <v>442</v>
      </c>
      <c r="F166" s="1050"/>
      <c r="G166" s="1045"/>
      <c r="H166" s="1044" t="s">
        <v>443</v>
      </c>
      <c r="I166" s="1045"/>
      <c r="J166" s="736">
        <v>9964</v>
      </c>
      <c r="K166" s="1046">
        <v>4982</v>
      </c>
      <c r="L166" s="1047"/>
      <c r="M166" s="736">
        <v>4982</v>
      </c>
      <c r="N166" s="736">
        <v>4982</v>
      </c>
      <c r="O166" s="1046">
        <v>4982</v>
      </c>
      <c r="P166" s="1047"/>
      <c r="Q166" s="736">
        <v>4982</v>
      </c>
      <c r="R166" s="736">
        <v>4982</v>
      </c>
    </row>
    <row r="167" spans="2:18" s="491" customFormat="1" ht="15">
      <c r="B167" s="1026"/>
      <c r="C167" s="1039"/>
      <c r="D167" s="1040"/>
      <c r="E167" s="1044" t="s">
        <v>434</v>
      </c>
      <c r="F167" s="1050"/>
      <c r="G167" s="1045"/>
      <c r="H167" s="1044" t="s">
        <v>435</v>
      </c>
      <c r="I167" s="1045"/>
      <c r="J167" s="736">
        <v>35000</v>
      </c>
      <c r="K167" s="1046">
        <v>3181.82</v>
      </c>
      <c r="L167" s="1047"/>
      <c r="M167" s="736">
        <v>3181.82</v>
      </c>
      <c r="N167" s="736">
        <v>3181.82</v>
      </c>
      <c r="O167" s="1046">
        <v>3181.82</v>
      </c>
      <c r="P167" s="1047"/>
      <c r="Q167" s="736">
        <v>3181.82</v>
      </c>
      <c r="R167" s="736">
        <v>3181.82</v>
      </c>
    </row>
    <row r="168" spans="2:18" s="491" customFormat="1" ht="15">
      <c r="B168" s="1026"/>
      <c r="C168" s="1039"/>
      <c r="D168" s="1040"/>
      <c r="E168" s="1044" t="s">
        <v>444</v>
      </c>
      <c r="F168" s="1050"/>
      <c r="G168" s="1045"/>
      <c r="H168" s="1044" t="s">
        <v>445</v>
      </c>
      <c r="I168" s="1045"/>
      <c r="J168" s="736">
        <v>70179.199999999997</v>
      </c>
      <c r="K168" s="1046">
        <v>5012.8</v>
      </c>
      <c r="L168" s="1047"/>
      <c r="M168" s="736">
        <v>5012.8</v>
      </c>
      <c r="N168" s="736">
        <v>5012.8</v>
      </c>
      <c r="O168" s="1046">
        <v>5012.8</v>
      </c>
      <c r="P168" s="1047"/>
      <c r="Q168" s="736">
        <v>5012.8</v>
      </c>
      <c r="R168" s="736">
        <v>5012.8</v>
      </c>
    </row>
    <row r="169" spans="2:18" s="491" customFormat="1" ht="15">
      <c r="B169" s="1026"/>
      <c r="C169" s="1039"/>
      <c r="D169" s="1040"/>
      <c r="E169" s="1044" t="s">
        <v>446</v>
      </c>
      <c r="F169" s="1050"/>
      <c r="G169" s="1045"/>
      <c r="H169" s="1044" t="s">
        <v>447</v>
      </c>
      <c r="I169" s="1045"/>
      <c r="J169" s="736">
        <v>17560.8</v>
      </c>
      <c r="K169" s="1046">
        <v>5813.5</v>
      </c>
      <c r="L169" s="1047"/>
      <c r="M169" s="736">
        <v>5813.5</v>
      </c>
      <c r="N169" s="736">
        <v>5813.5</v>
      </c>
      <c r="O169" s="1046">
        <v>5813.5</v>
      </c>
      <c r="P169" s="1047"/>
      <c r="Q169" s="736">
        <v>5813.5</v>
      </c>
      <c r="R169" s="736">
        <v>5813.5</v>
      </c>
    </row>
    <row r="170" spans="2:18" s="491" customFormat="1" ht="15">
      <c r="B170" s="1026"/>
      <c r="C170" s="1039"/>
      <c r="D170" s="1040"/>
      <c r="E170" s="1044" t="s">
        <v>410</v>
      </c>
      <c r="F170" s="1050"/>
      <c r="G170" s="1045"/>
      <c r="H170" s="1044" t="s">
        <v>411</v>
      </c>
      <c r="I170" s="1045"/>
      <c r="J170" s="737"/>
      <c r="K170" s="1046">
        <v>26.75</v>
      </c>
      <c r="L170" s="1047"/>
      <c r="M170" s="736">
        <v>26.75</v>
      </c>
      <c r="N170" s="736">
        <v>26.75</v>
      </c>
      <c r="O170" s="1046">
        <v>26.75</v>
      </c>
      <c r="P170" s="1047"/>
      <c r="Q170" s="736">
        <v>26.75</v>
      </c>
      <c r="R170" s="736">
        <v>26.75</v>
      </c>
    </row>
    <row r="171" spans="2:18" s="491" customFormat="1" ht="15">
      <c r="B171" s="1026"/>
      <c r="C171" s="1041"/>
      <c r="D171" s="1043"/>
      <c r="E171" s="1036" t="s">
        <v>467</v>
      </c>
      <c r="F171" s="1050"/>
      <c r="G171" s="1045"/>
      <c r="H171" s="1036" t="s">
        <v>412</v>
      </c>
      <c r="I171" s="1045"/>
      <c r="J171" s="739">
        <v>168886</v>
      </c>
      <c r="K171" s="1048" t="s">
        <v>412</v>
      </c>
      <c r="L171" s="1047"/>
      <c r="M171" s="737" t="s">
        <v>412</v>
      </c>
      <c r="N171" s="737" t="s">
        <v>412</v>
      </c>
      <c r="O171" s="1048" t="s">
        <v>412</v>
      </c>
      <c r="P171" s="1047"/>
      <c r="Q171" s="737" t="s">
        <v>412</v>
      </c>
      <c r="R171" s="737" t="s">
        <v>412</v>
      </c>
    </row>
    <row r="172" spans="2:18" s="491" customFormat="1" ht="15">
      <c r="B172" s="1026"/>
      <c r="C172" s="1044" t="s">
        <v>473</v>
      </c>
      <c r="D172" s="1038"/>
      <c r="E172" s="1044" t="s">
        <v>408</v>
      </c>
      <c r="F172" s="1050"/>
      <c r="G172" s="1045"/>
      <c r="H172" s="1044" t="s">
        <v>409</v>
      </c>
      <c r="I172" s="1045"/>
      <c r="J172" s="736">
        <v>53549</v>
      </c>
      <c r="K172" s="1046">
        <v>102.35</v>
      </c>
      <c r="L172" s="1047"/>
      <c r="M172" s="736">
        <v>102.35</v>
      </c>
      <c r="N172" s="736">
        <v>102.35</v>
      </c>
      <c r="O172" s="1046">
        <v>102.35</v>
      </c>
      <c r="P172" s="1047"/>
      <c r="Q172" s="736">
        <v>102.35</v>
      </c>
      <c r="R172" s="736">
        <v>102.35</v>
      </c>
    </row>
    <row r="173" spans="2:18" s="491" customFormat="1" ht="15">
      <c r="B173" s="1026"/>
      <c r="C173" s="1039"/>
      <c r="D173" s="1040"/>
      <c r="E173" s="1044" t="s">
        <v>323</v>
      </c>
      <c r="F173" s="1050"/>
      <c r="G173" s="1045"/>
      <c r="H173" s="1044" t="s">
        <v>324</v>
      </c>
      <c r="I173" s="1045"/>
      <c r="J173" s="736">
        <v>161976</v>
      </c>
      <c r="K173" s="1046">
        <v>102.35</v>
      </c>
      <c r="L173" s="1047"/>
      <c r="M173" s="736">
        <v>102.35</v>
      </c>
      <c r="N173" s="736">
        <v>102.35</v>
      </c>
      <c r="O173" s="1046">
        <v>102.35</v>
      </c>
      <c r="P173" s="1047"/>
      <c r="Q173" s="736">
        <v>102.35</v>
      </c>
      <c r="R173" s="736">
        <v>102.35</v>
      </c>
    </row>
    <row r="174" spans="2:18" s="491" customFormat="1" ht="15">
      <c r="B174" s="1026"/>
      <c r="C174" s="1039"/>
      <c r="D174" s="1040"/>
      <c r="E174" s="1044" t="s">
        <v>450</v>
      </c>
      <c r="F174" s="1050"/>
      <c r="G174" s="1045"/>
      <c r="H174" s="1044" t="s">
        <v>451</v>
      </c>
      <c r="I174" s="1045"/>
      <c r="J174" s="736">
        <v>60111</v>
      </c>
      <c r="K174" s="1046">
        <v>102.35</v>
      </c>
      <c r="L174" s="1047"/>
      <c r="M174" s="736">
        <v>102.35</v>
      </c>
      <c r="N174" s="736">
        <v>102.35</v>
      </c>
      <c r="O174" s="1046">
        <v>102.35</v>
      </c>
      <c r="P174" s="1047"/>
      <c r="Q174" s="736">
        <v>102.35</v>
      </c>
      <c r="R174" s="736">
        <v>102.35</v>
      </c>
    </row>
    <row r="175" spans="2:18" s="491" customFormat="1" ht="15">
      <c r="B175" s="1026"/>
      <c r="C175" s="1039"/>
      <c r="D175" s="1040"/>
      <c r="E175" s="1044" t="s">
        <v>410</v>
      </c>
      <c r="F175" s="1050"/>
      <c r="G175" s="1045"/>
      <c r="H175" s="1044" t="s">
        <v>411</v>
      </c>
      <c r="I175" s="1045"/>
      <c r="J175" s="736">
        <v>3000</v>
      </c>
      <c r="K175" s="1046">
        <v>26.75</v>
      </c>
      <c r="L175" s="1047"/>
      <c r="M175" s="736">
        <v>26.75</v>
      </c>
      <c r="N175" s="736">
        <v>26.75</v>
      </c>
      <c r="O175" s="1046">
        <v>26.75</v>
      </c>
      <c r="P175" s="1047"/>
      <c r="Q175" s="736">
        <v>26.75</v>
      </c>
      <c r="R175" s="736">
        <v>26.75</v>
      </c>
    </row>
    <row r="176" spans="2:18" s="491" customFormat="1" ht="15">
      <c r="B176" s="1026"/>
      <c r="C176" s="1039"/>
      <c r="D176" s="1040"/>
      <c r="E176" s="1044" t="s">
        <v>227</v>
      </c>
      <c r="F176" s="1050"/>
      <c r="G176" s="1045"/>
      <c r="H176" s="1044" t="s">
        <v>228</v>
      </c>
      <c r="I176" s="1045"/>
      <c r="J176" s="736">
        <v>494624</v>
      </c>
      <c r="K176" s="1046">
        <v>0</v>
      </c>
      <c r="L176" s="1047"/>
      <c r="M176" s="736">
        <v>0</v>
      </c>
      <c r="N176" s="736">
        <v>0</v>
      </c>
      <c r="O176" s="1048"/>
      <c r="P176" s="1047"/>
      <c r="Q176" s="737"/>
      <c r="R176" s="737"/>
    </row>
    <row r="177" spans="2:18" s="491" customFormat="1" ht="15">
      <c r="B177" s="1026"/>
      <c r="C177" s="1041"/>
      <c r="D177" s="1043"/>
      <c r="E177" s="1036" t="s">
        <v>467</v>
      </c>
      <c r="F177" s="1050"/>
      <c r="G177" s="1045"/>
      <c r="H177" s="1036" t="s">
        <v>412</v>
      </c>
      <c r="I177" s="1045"/>
      <c r="J177" s="739">
        <f>SUM(J172:J176)</f>
        <v>773260</v>
      </c>
      <c r="K177" s="1048" t="s">
        <v>412</v>
      </c>
      <c r="L177" s="1047"/>
      <c r="M177" s="737" t="s">
        <v>412</v>
      </c>
      <c r="N177" s="737" t="s">
        <v>412</v>
      </c>
      <c r="O177" s="1048" t="s">
        <v>412</v>
      </c>
      <c r="P177" s="1047"/>
      <c r="Q177" s="737" t="s">
        <v>412</v>
      </c>
      <c r="R177" s="737" t="s">
        <v>412</v>
      </c>
    </row>
    <row r="178" spans="2:18" s="491" customFormat="1" ht="15">
      <c r="B178" s="1026"/>
      <c r="C178" s="1044" t="s">
        <v>474</v>
      </c>
      <c r="D178" s="1038"/>
      <c r="E178" s="1044" t="s">
        <v>395</v>
      </c>
      <c r="F178" s="1050"/>
      <c r="G178" s="1045"/>
      <c r="H178" s="1044" t="s">
        <v>396</v>
      </c>
      <c r="I178" s="1045"/>
      <c r="J178" s="736">
        <v>52000</v>
      </c>
      <c r="K178" s="1046">
        <v>159.09</v>
      </c>
      <c r="L178" s="1047"/>
      <c r="M178" s="736">
        <v>160.61000000000001</v>
      </c>
      <c r="N178" s="736">
        <v>157.57</v>
      </c>
      <c r="O178" s="1046">
        <v>159.09</v>
      </c>
      <c r="P178" s="1047"/>
      <c r="Q178" s="736">
        <v>160.61000000000001</v>
      </c>
      <c r="R178" s="736">
        <v>157.57</v>
      </c>
    </row>
    <row r="179" spans="2:18" s="491" customFormat="1" ht="15">
      <c r="B179" s="1026"/>
      <c r="C179" s="1039"/>
      <c r="D179" s="1040"/>
      <c r="E179" s="1044" t="s">
        <v>410</v>
      </c>
      <c r="F179" s="1050"/>
      <c r="G179" s="1045"/>
      <c r="H179" s="1044" t="s">
        <v>411</v>
      </c>
      <c r="I179" s="1045"/>
      <c r="J179" s="737"/>
      <c r="K179" s="1046">
        <v>26.75</v>
      </c>
      <c r="L179" s="1047"/>
      <c r="M179" s="736">
        <v>26.75</v>
      </c>
      <c r="N179" s="736">
        <v>26.75</v>
      </c>
      <c r="O179" s="1046">
        <v>26.75</v>
      </c>
      <c r="P179" s="1047"/>
      <c r="Q179" s="736">
        <v>26.75</v>
      </c>
      <c r="R179" s="736">
        <v>26.75</v>
      </c>
    </row>
    <row r="180" spans="2:18" s="491" customFormat="1" ht="15">
      <c r="B180" s="1026"/>
      <c r="C180" s="1041"/>
      <c r="D180" s="1043"/>
      <c r="E180" s="1036" t="s">
        <v>467</v>
      </c>
      <c r="F180" s="1050"/>
      <c r="G180" s="1045"/>
      <c r="H180" s="1036" t="s">
        <v>412</v>
      </c>
      <c r="I180" s="1045"/>
      <c r="J180" s="739">
        <v>52000</v>
      </c>
      <c r="K180" s="1048" t="s">
        <v>412</v>
      </c>
      <c r="L180" s="1047"/>
      <c r="M180" s="737" t="s">
        <v>412</v>
      </c>
      <c r="N180" s="737" t="s">
        <v>412</v>
      </c>
      <c r="O180" s="1048" t="s">
        <v>412</v>
      </c>
      <c r="P180" s="1047"/>
      <c r="Q180" s="737" t="s">
        <v>412</v>
      </c>
      <c r="R180" s="737" t="s">
        <v>412</v>
      </c>
    </row>
    <row r="181" spans="2:18" s="491" customFormat="1" ht="15">
      <c r="B181" s="1026"/>
      <c r="C181" s="1044" t="s">
        <v>475</v>
      </c>
      <c r="D181" s="1038"/>
      <c r="E181" s="1044" t="s">
        <v>227</v>
      </c>
      <c r="F181" s="1050"/>
      <c r="G181" s="1045"/>
      <c r="H181" s="1044" t="s">
        <v>228</v>
      </c>
      <c r="I181" s="1045"/>
      <c r="J181" s="736">
        <v>92000</v>
      </c>
      <c r="K181" s="1046">
        <v>0</v>
      </c>
      <c r="L181" s="1047"/>
      <c r="M181" s="736">
        <v>0</v>
      </c>
      <c r="N181" s="736">
        <v>0</v>
      </c>
      <c r="O181" s="1048"/>
      <c r="P181" s="1047"/>
      <c r="Q181" s="737"/>
      <c r="R181" s="737"/>
    </row>
    <row r="182" spans="2:18" s="491" customFormat="1" ht="15">
      <c r="B182" s="1026"/>
      <c r="C182" s="1041"/>
      <c r="D182" s="1043"/>
      <c r="E182" s="1036" t="s">
        <v>467</v>
      </c>
      <c r="F182" s="1050"/>
      <c r="G182" s="1045"/>
      <c r="H182" s="1036" t="s">
        <v>412</v>
      </c>
      <c r="I182" s="1045"/>
      <c r="J182" s="739">
        <v>92000</v>
      </c>
      <c r="K182" s="1048" t="s">
        <v>412</v>
      </c>
      <c r="L182" s="1047"/>
      <c r="M182" s="737" t="s">
        <v>412</v>
      </c>
      <c r="N182" s="737" t="s">
        <v>412</v>
      </c>
      <c r="O182" s="1048" t="s">
        <v>412</v>
      </c>
      <c r="P182" s="1047"/>
      <c r="Q182" s="737" t="s">
        <v>412</v>
      </c>
      <c r="R182" s="737" t="s">
        <v>412</v>
      </c>
    </row>
    <row r="183" spans="2:18" s="491" customFormat="1" ht="15">
      <c r="B183" s="1027"/>
      <c r="C183" s="1049" t="s">
        <v>412</v>
      </c>
      <c r="D183" s="1045"/>
      <c r="E183" s="1049" t="s">
        <v>301</v>
      </c>
      <c r="F183" s="1050"/>
      <c r="G183" s="1045"/>
      <c r="H183" s="1049" t="s">
        <v>412</v>
      </c>
      <c r="I183" s="1045"/>
      <c r="J183" s="739">
        <v>7838843</v>
      </c>
      <c r="K183" s="1048" t="s">
        <v>412</v>
      </c>
      <c r="L183" s="1047"/>
      <c r="M183" s="737" t="s">
        <v>412</v>
      </c>
      <c r="N183" s="737" t="s">
        <v>412</v>
      </c>
      <c r="O183" s="1048" t="s">
        <v>412</v>
      </c>
      <c r="P183" s="1047"/>
      <c r="Q183" s="737" t="s">
        <v>412</v>
      </c>
      <c r="R183" s="737" t="s">
        <v>412</v>
      </c>
    </row>
    <row r="186" spans="2:18">
      <c r="J186" s="750"/>
    </row>
    <row r="188" spans="2:18">
      <c r="J188" s="750"/>
    </row>
  </sheetData>
  <mergeCells count="691">
    <mergeCell ref="C183:D183"/>
    <mergeCell ref="E183:G183"/>
    <mergeCell ref="H183:I183"/>
    <mergeCell ref="K183:L183"/>
    <mergeCell ref="O183:P183"/>
    <mergeCell ref="C181:D182"/>
    <mergeCell ref="E181:G181"/>
    <mergeCell ref="H181:I181"/>
    <mergeCell ref="K181:L181"/>
    <mergeCell ref="O181:P181"/>
    <mergeCell ref="E182:G182"/>
    <mergeCell ref="H182:I182"/>
    <mergeCell ref="K182:L182"/>
    <mergeCell ref="O182:P182"/>
    <mergeCell ref="C178:D180"/>
    <mergeCell ref="E178:G178"/>
    <mergeCell ref="H178:I178"/>
    <mergeCell ref="K178:L178"/>
    <mergeCell ref="O178:P178"/>
    <mergeCell ref="E179:G179"/>
    <mergeCell ref="H179:I179"/>
    <mergeCell ref="K179:L179"/>
    <mergeCell ref="O179:P179"/>
    <mergeCell ref="E180:G180"/>
    <mergeCell ref="H180:I180"/>
    <mergeCell ref="K180:L180"/>
    <mergeCell ref="O180:P180"/>
    <mergeCell ref="O175:P175"/>
    <mergeCell ref="E176:G176"/>
    <mergeCell ref="H176:I176"/>
    <mergeCell ref="K176:L176"/>
    <mergeCell ref="O176:P176"/>
    <mergeCell ref="E177:G177"/>
    <mergeCell ref="H177:I177"/>
    <mergeCell ref="K177:L177"/>
    <mergeCell ref="O177:P177"/>
    <mergeCell ref="E170:G170"/>
    <mergeCell ref="H170:I170"/>
    <mergeCell ref="K170:L170"/>
    <mergeCell ref="O170:P170"/>
    <mergeCell ref="E171:G171"/>
    <mergeCell ref="H171:I171"/>
    <mergeCell ref="K171:L171"/>
    <mergeCell ref="O171:P171"/>
    <mergeCell ref="C172:D177"/>
    <mergeCell ref="E172:G172"/>
    <mergeCell ref="H172:I172"/>
    <mergeCell ref="K172:L172"/>
    <mergeCell ref="O172:P172"/>
    <mergeCell ref="E173:G173"/>
    <mergeCell ref="H173:I173"/>
    <mergeCell ref="K173:L173"/>
    <mergeCell ref="O173:P173"/>
    <mergeCell ref="E174:G174"/>
    <mergeCell ref="H174:I174"/>
    <mergeCell ref="K174:L174"/>
    <mergeCell ref="O174:P174"/>
    <mergeCell ref="E175:G175"/>
    <mergeCell ref="H175:I175"/>
    <mergeCell ref="K175:L175"/>
    <mergeCell ref="O167:P167"/>
    <mergeCell ref="E168:G168"/>
    <mergeCell ref="H168:I168"/>
    <mergeCell ref="K168:L168"/>
    <mergeCell ref="O168:P168"/>
    <mergeCell ref="E169:G169"/>
    <mergeCell ref="H169:I169"/>
    <mergeCell ref="K169:L169"/>
    <mergeCell ref="O169:P169"/>
    <mergeCell ref="E162:G162"/>
    <mergeCell ref="H162:I162"/>
    <mergeCell ref="K162:L162"/>
    <mergeCell ref="O162:P162"/>
    <mergeCell ref="C163:D171"/>
    <mergeCell ref="E163:G163"/>
    <mergeCell ref="H163:I163"/>
    <mergeCell ref="K163:L163"/>
    <mergeCell ref="O163:P163"/>
    <mergeCell ref="E164:G164"/>
    <mergeCell ref="H164:I164"/>
    <mergeCell ref="K164:L164"/>
    <mergeCell ref="O164:P164"/>
    <mergeCell ref="E165:G165"/>
    <mergeCell ref="H165:I165"/>
    <mergeCell ref="K165:L165"/>
    <mergeCell ref="O165:P165"/>
    <mergeCell ref="E166:G166"/>
    <mergeCell ref="H166:I166"/>
    <mergeCell ref="K166:L166"/>
    <mergeCell ref="O166:P166"/>
    <mergeCell ref="E167:G167"/>
    <mergeCell ref="H167:I167"/>
    <mergeCell ref="K167:L167"/>
    <mergeCell ref="E159:G159"/>
    <mergeCell ref="H159:I159"/>
    <mergeCell ref="K159:L159"/>
    <mergeCell ref="O159:P159"/>
    <mergeCell ref="E160:G160"/>
    <mergeCell ref="H160:I160"/>
    <mergeCell ref="K160:L160"/>
    <mergeCell ref="O160:P160"/>
    <mergeCell ref="E161:G161"/>
    <mergeCell ref="H161:I161"/>
    <mergeCell ref="K161:L161"/>
    <mergeCell ref="O161:P161"/>
    <mergeCell ref="E156:G156"/>
    <mergeCell ref="H156:I156"/>
    <mergeCell ref="K156:L156"/>
    <mergeCell ref="E157:G157"/>
    <mergeCell ref="H157:I157"/>
    <mergeCell ref="K157:L157"/>
    <mergeCell ref="E158:G158"/>
    <mergeCell ref="H158:I158"/>
    <mergeCell ref="K158:L158"/>
    <mergeCell ref="E153:G153"/>
    <mergeCell ref="H153:I153"/>
    <mergeCell ref="K153:L153"/>
    <mergeCell ref="O153:P153"/>
    <mergeCell ref="E154:G154"/>
    <mergeCell ref="H154:I154"/>
    <mergeCell ref="K154:L154"/>
    <mergeCell ref="O154:P154"/>
    <mergeCell ref="E155:G155"/>
    <mergeCell ref="H155:I155"/>
    <mergeCell ref="K155:L155"/>
    <mergeCell ref="E150:G150"/>
    <mergeCell ref="H150:I150"/>
    <mergeCell ref="K150:L150"/>
    <mergeCell ref="O150:P150"/>
    <mergeCell ref="E151:G151"/>
    <mergeCell ref="H151:I151"/>
    <mergeCell ref="K151:L151"/>
    <mergeCell ref="O151:P151"/>
    <mergeCell ref="E152:G152"/>
    <mergeCell ref="H152:I152"/>
    <mergeCell ref="K152:L152"/>
    <mergeCell ref="E147:G147"/>
    <mergeCell ref="H147:I147"/>
    <mergeCell ref="K147:L147"/>
    <mergeCell ref="O147:P147"/>
    <mergeCell ref="E148:G148"/>
    <mergeCell ref="H148:I148"/>
    <mergeCell ref="K148:L148"/>
    <mergeCell ref="O148:P148"/>
    <mergeCell ref="E149:G149"/>
    <mergeCell ref="H149:I149"/>
    <mergeCell ref="K149:L149"/>
    <mergeCell ref="O149:P149"/>
    <mergeCell ref="O144:P144"/>
    <mergeCell ref="E145:G145"/>
    <mergeCell ref="H145:I145"/>
    <mergeCell ref="K145:L145"/>
    <mergeCell ref="O145:P145"/>
    <mergeCell ref="E146:G146"/>
    <mergeCell ref="H146:I146"/>
    <mergeCell ref="K146:L146"/>
    <mergeCell ref="O146:P146"/>
    <mergeCell ref="E139:G139"/>
    <mergeCell ref="H139:I139"/>
    <mergeCell ref="K139:L139"/>
    <mergeCell ref="O139:P139"/>
    <mergeCell ref="E140:G140"/>
    <mergeCell ref="H140:I140"/>
    <mergeCell ref="K140:L140"/>
    <mergeCell ref="O140:P140"/>
    <mergeCell ref="C141:D162"/>
    <mergeCell ref="E141:G141"/>
    <mergeCell ref="H141:I141"/>
    <mergeCell ref="K141:L141"/>
    <mergeCell ref="O141:P141"/>
    <mergeCell ref="E142:G142"/>
    <mergeCell ref="H142:I142"/>
    <mergeCell ref="K142:L142"/>
    <mergeCell ref="O142:P142"/>
    <mergeCell ref="E143:G143"/>
    <mergeCell ref="H143:I143"/>
    <mergeCell ref="K143:L143"/>
    <mergeCell ref="O143:P143"/>
    <mergeCell ref="E144:G144"/>
    <mergeCell ref="H144:I144"/>
    <mergeCell ref="K144:L144"/>
    <mergeCell ref="O136:P136"/>
    <mergeCell ref="E137:G137"/>
    <mergeCell ref="H137:I137"/>
    <mergeCell ref="K137:L137"/>
    <mergeCell ref="O137:P137"/>
    <mergeCell ref="E138:G138"/>
    <mergeCell ref="H138:I138"/>
    <mergeCell ref="K138:L138"/>
    <mergeCell ref="O138:P138"/>
    <mergeCell ref="E131:G131"/>
    <mergeCell ref="H131:I131"/>
    <mergeCell ref="K131:L131"/>
    <mergeCell ref="O131:P131"/>
    <mergeCell ref="E132:G132"/>
    <mergeCell ref="H132:I132"/>
    <mergeCell ref="K132:L132"/>
    <mergeCell ref="O132:P132"/>
    <mergeCell ref="C133:D140"/>
    <mergeCell ref="E133:G133"/>
    <mergeCell ref="H133:I133"/>
    <mergeCell ref="K133:L133"/>
    <mergeCell ref="O133:P133"/>
    <mergeCell ref="E134:G134"/>
    <mergeCell ref="H134:I134"/>
    <mergeCell ref="K134:L134"/>
    <mergeCell ref="O134:P134"/>
    <mergeCell ref="E135:G135"/>
    <mergeCell ref="H135:I135"/>
    <mergeCell ref="K135:L135"/>
    <mergeCell ref="O135:P135"/>
    <mergeCell ref="E136:G136"/>
    <mergeCell ref="H136:I136"/>
    <mergeCell ref="K136:L136"/>
    <mergeCell ref="E128:G128"/>
    <mergeCell ref="H128:I128"/>
    <mergeCell ref="K128:L128"/>
    <mergeCell ref="O128:P128"/>
    <mergeCell ref="E129:G129"/>
    <mergeCell ref="H129:I129"/>
    <mergeCell ref="K129:L129"/>
    <mergeCell ref="O129:P129"/>
    <mergeCell ref="E130:G130"/>
    <mergeCell ref="H130:I130"/>
    <mergeCell ref="K130:L130"/>
    <mergeCell ref="O130:P130"/>
    <mergeCell ref="O125:P125"/>
    <mergeCell ref="E126:G126"/>
    <mergeCell ref="H126:I126"/>
    <mergeCell ref="K126:L126"/>
    <mergeCell ref="O126:P126"/>
    <mergeCell ref="E127:G127"/>
    <mergeCell ref="H127:I127"/>
    <mergeCell ref="K127:L127"/>
    <mergeCell ref="O127:P127"/>
    <mergeCell ref="B119:E119"/>
    <mergeCell ref="G119:H119"/>
    <mergeCell ref="C121:D121"/>
    <mergeCell ref="E121:G121"/>
    <mergeCell ref="H121:I121"/>
    <mergeCell ref="K121:L121"/>
    <mergeCell ref="O121:P121"/>
    <mergeCell ref="B122:B183"/>
    <mergeCell ref="C122:D132"/>
    <mergeCell ref="E122:G122"/>
    <mergeCell ref="H122:I122"/>
    <mergeCell ref="K122:L122"/>
    <mergeCell ref="O122:P122"/>
    <mergeCell ref="E123:G123"/>
    <mergeCell ref="H123:I123"/>
    <mergeCell ref="K123:L123"/>
    <mergeCell ref="O123:P123"/>
    <mergeCell ref="E124:G124"/>
    <mergeCell ref="H124:I124"/>
    <mergeCell ref="K124:L124"/>
    <mergeCell ref="O124:P124"/>
    <mergeCell ref="E125:G125"/>
    <mergeCell ref="H125:I125"/>
    <mergeCell ref="K125:L125"/>
    <mergeCell ref="C116:D116"/>
    <mergeCell ref="E116:G116"/>
    <mergeCell ref="H116:I116"/>
    <mergeCell ref="K116:L116"/>
    <mergeCell ref="O116:P116"/>
    <mergeCell ref="E113:G113"/>
    <mergeCell ref="H113:I113"/>
    <mergeCell ref="K113:L113"/>
    <mergeCell ref="O113:P113"/>
    <mergeCell ref="C114:D115"/>
    <mergeCell ref="E114:G114"/>
    <mergeCell ref="H114:I114"/>
    <mergeCell ref="K114:L114"/>
    <mergeCell ref="O114:P114"/>
    <mergeCell ref="E115:G115"/>
    <mergeCell ref="H115:I115"/>
    <mergeCell ref="K115:L115"/>
    <mergeCell ref="O115:P115"/>
    <mergeCell ref="E111:G111"/>
    <mergeCell ref="H111:I111"/>
    <mergeCell ref="K111:L111"/>
    <mergeCell ref="O111:P111"/>
    <mergeCell ref="E112:G112"/>
    <mergeCell ref="H112:I112"/>
    <mergeCell ref="K112:L112"/>
    <mergeCell ref="O112:P112"/>
    <mergeCell ref="E109:G109"/>
    <mergeCell ref="H109:I109"/>
    <mergeCell ref="K109:L109"/>
    <mergeCell ref="O109:P109"/>
    <mergeCell ref="E110:G110"/>
    <mergeCell ref="H110:I110"/>
    <mergeCell ref="K110:L110"/>
    <mergeCell ref="O110:P110"/>
    <mergeCell ref="E107:G107"/>
    <mergeCell ref="H107:I107"/>
    <mergeCell ref="K107:L107"/>
    <mergeCell ref="O107:P107"/>
    <mergeCell ref="E108:G108"/>
    <mergeCell ref="H108:I108"/>
    <mergeCell ref="K108:L108"/>
    <mergeCell ref="O108:P108"/>
    <mergeCell ref="E105:G105"/>
    <mergeCell ref="H105:I105"/>
    <mergeCell ref="K105:L105"/>
    <mergeCell ref="O105:P105"/>
    <mergeCell ref="E106:G106"/>
    <mergeCell ref="H106:I106"/>
    <mergeCell ref="K106:L106"/>
    <mergeCell ref="O106:P106"/>
    <mergeCell ref="E104:G104"/>
    <mergeCell ref="H104:I104"/>
    <mergeCell ref="K104:L104"/>
    <mergeCell ref="O104:P104"/>
    <mergeCell ref="E101:G101"/>
    <mergeCell ref="H101:I101"/>
    <mergeCell ref="K101:L101"/>
    <mergeCell ref="O101:P101"/>
    <mergeCell ref="E102:G102"/>
    <mergeCell ref="H102:I102"/>
    <mergeCell ref="K102:L102"/>
    <mergeCell ref="O102:P102"/>
    <mergeCell ref="O100:P100"/>
    <mergeCell ref="O97:P97"/>
    <mergeCell ref="E98:G98"/>
    <mergeCell ref="H98:I98"/>
    <mergeCell ref="K98:L98"/>
    <mergeCell ref="O98:P98"/>
    <mergeCell ref="E103:G103"/>
    <mergeCell ref="H103:I103"/>
    <mergeCell ref="K103:L103"/>
    <mergeCell ref="O103:P103"/>
    <mergeCell ref="E94:G94"/>
    <mergeCell ref="H94:I94"/>
    <mergeCell ref="K94:L94"/>
    <mergeCell ref="O94:P94"/>
    <mergeCell ref="C95:D113"/>
    <mergeCell ref="E95:G95"/>
    <mergeCell ref="H95:I95"/>
    <mergeCell ref="K95:L95"/>
    <mergeCell ref="O95:P95"/>
    <mergeCell ref="E96:G96"/>
    <mergeCell ref="H96:I96"/>
    <mergeCell ref="K96:L96"/>
    <mergeCell ref="O96:P96"/>
    <mergeCell ref="E97:G97"/>
    <mergeCell ref="H97:I97"/>
    <mergeCell ref="K97:L97"/>
    <mergeCell ref="C86:D94"/>
    <mergeCell ref="E99:G99"/>
    <mergeCell ref="H99:I99"/>
    <mergeCell ref="K99:L99"/>
    <mergeCell ref="O99:P99"/>
    <mergeCell ref="E100:G100"/>
    <mergeCell ref="H100:I100"/>
    <mergeCell ref="K100:L100"/>
    <mergeCell ref="E92:G92"/>
    <mergeCell ref="H92:I92"/>
    <mergeCell ref="K92:L92"/>
    <mergeCell ref="O92:P92"/>
    <mergeCell ref="E93:G93"/>
    <mergeCell ref="H93:I93"/>
    <mergeCell ref="K93:L93"/>
    <mergeCell ref="O93:P93"/>
    <mergeCell ref="E90:G90"/>
    <mergeCell ref="H90:I90"/>
    <mergeCell ref="K90:L90"/>
    <mergeCell ref="O90:P90"/>
    <mergeCell ref="E91:G91"/>
    <mergeCell ref="H91:I91"/>
    <mergeCell ref="K91:L91"/>
    <mergeCell ref="O91:P91"/>
    <mergeCell ref="O88:P88"/>
    <mergeCell ref="E89:G89"/>
    <mergeCell ref="H89:I89"/>
    <mergeCell ref="K89:L89"/>
    <mergeCell ref="O89:P89"/>
    <mergeCell ref="E85:G85"/>
    <mergeCell ref="H85:I85"/>
    <mergeCell ref="K85:L85"/>
    <mergeCell ref="O85:P85"/>
    <mergeCell ref="E86:G86"/>
    <mergeCell ref="H86:I86"/>
    <mergeCell ref="K86:L86"/>
    <mergeCell ref="O86:P86"/>
    <mergeCell ref="E87:G87"/>
    <mergeCell ref="H87:I87"/>
    <mergeCell ref="K87:L87"/>
    <mergeCell ref="O87:P87"/>
    <mergeCell ref="E88:G88"/>
    <mergeCell ref="H88:I88"/>
    <mergeCell ref="K88:L88"/>
    <mergeCell ref="E83:G83"/>
    <mergeCell ref="H83:I83"/>
    <mergeCell ref="K83:L83"/>
    <mergeCell ref="O83:P83"/>
    <mergeCell ref="E84:G84"/>
    <mergeCell ref="H84:I84"/>
    <mergeCell ref="K84:L84"/>
    <mergeCell ref="O84:P84"/>
    <mergeCell ref="E81:G81"/>
    <mergeCell ref="H81:I81"/>
    <mergeCell ref="K81:L81"/>
    <mergeCell ref="O81:P81"/>
    <mergeCell ref="E82:G82"/>
    <mergeCell ref="H82:I82"/>
    <mergeCell ref="K82:L82"/>
    <mergeCell ref="O82:P82"/>
    <mergeCell ref="E79:G79"/>
    <mergeCell ref="H79:I79"/>
    <mergeCell ref="K79:L79"/>
    <mergeCell ref="O79:P79"/>
    <mergeCell ref="E80:G80"/>
    <mergeCell ref="H80:I80"/>
    <mergeCell ref="K80:L80"/>
    <mergeCell ref="O80:P80"/>
    <mergeCell ref="E77:G77"/>
    <mergeCell ref="H77:I77"/>
    <mergeCell ref="K77:L77"/>
    <mergeCell ref="O77:P77"/>
    <mergeCell ref="E78:G78"/>
    <mergeCell ref="H78:I78"/>
    <mergeCell ref="K78:L78"/>
    <mergeCell ref="O78:P78"/>
    <mergeCell ref="E75:G75"/>
    <mergeCell ref="H75:I75"/>
    <mergeCell ref="K75:L75"/>
    <mergeCell ref="O75:P75"/>
    <mergeCell ref="E76:G76"/>
    <mergeCell ref="H76:I76"/>
    <mergeCell ref="K76:L76"/>
    <mergeCell ref="O76:P76"/>
    <mergeCell ref="E73:G73"/>
    <mergeCell ref="H73:I73"/>
    <mergeCell ref="K73:L73"/>
    <mergeCell ref="O73:P73"/>
    <mergeCell ref="E74:G74"/>
    <mergeCell ref="H74:I74"/>
    <mergeCell ref="K74:L74"/>
    <mergeCell ref="O74:P74"/>
    <mergeCell ref="E71:G71"/>
    <mergeCell ref="H71:I71"/>
    <mergeCell ref="K71:L71"/>
    <mergeCell ref="O71:P71"/>
    <mergeCell ref="E72:G72"/>
    <mergeCell ref="H72:I72"/>
    <mergeCell ref="K72:L72"/>
    <mergeCell ref="O72:P72"/>
    <mergeCell ref="E69:G69"/>
    <mergeCell ref="H69:I69"/>
    <mergeCell ref="K69:L69"/>
    <mergeCell ref="O69:P69"/>
    <mergeCell ref="E70:G70"/>
    <mergeCell ref="H70:I70"/>
    <mergeCell ref="K70:L70"/>
    <mergeCell ref="O70:P70"/>
    <mergeCell ref="E67:G67"/>
    <mergeCell ref="H67:I67"/>
    <mergeCell ref="K67:L67"/>
    <mergeCell ref="O67:P67"/>
    <mergeCell ref="E68:G68"/>
    <mergeCell ref="H68:I68"/>
    <mergeCell ref="K68:L68"/>
    <mergeCell ref="O68:P68"/>
    <mergeCell ref="E65:G65"/>
    <mergeCell ref="H65:I65"/>
    <mergeCell ref="K65:L65"/>
    <mergeCell ref="O65:P65"/>
    <mergeCell ref="E66:G66"/>
    <mergeCell ref="H66:I66"/>
    <mergeCell ref="K66:L66"/>
    <mergeCell ref="O66:P66"/>
    <mergeCell ref="E63:G63"/>
    <mergeCell ref="H63:I63"/>
    <mergeCell ref="K63:L63"/>
    <mergeCell ref="O63:P63"/>
    <mergeCell ref="E64:G64"/>
    <mergeCell ref="H64:I64"/>
    <mergeCell ref="K64:L64"/>
    <mergeCell ref="O64:P64"/>
    <mergeCell ref="E61:G61"/>
    <mergeCell ref="H61:I61"/>
    <mergeCell ref="K61:L61"/>
    <mergeCell ref="O61:P61"/>
    <mergeCell ref="E62:G62"/>
    <mergeCell ref="H62:I62"/>
    <mergeCell ref="K62:L62"/>
    <mergeCell ref="O62:P62"/>
    <mergeCell ref="O60:P60"/>
    <mergeCell ref="E57:G57"/>
    <mergeCell ref="H57:I57"/>
    <mergeCell ref="K57:L57"/>
    <mergeCell ref="O57:P57"/>
    <mergeCell ref="E58:G58"/>
    <mergeCell ref="H58:I58"/>
    <mergeCell ref="K58:L58"/>
    <mergeCell ref="O58:P58"/>
    <mergeCell ref="E48:G48"/>
    <mergeCell ref="H48:I48"/>
    <mergeCell ref="K48:L48"/>
    <mergeCell ref="O48:P48"/>
    <mergeCell ref="E55:G55"/>
    <mergeCell ref="H55:I55"/>
    <mergeCell ref="K55:L55"/>
    <mergeCell ref="O55:P55"/>
    <mergeCell ref="E56:G56"/>
    <mergeCell ref="H56:I56"/>
    <mergeCell ref="K56:L56"/>
    <mergeCell ref="O56:P56"/>
    <mergeCell ref="E53:G53"/>
    <mergeCell ref="H53:I53"/>
    <mergeCell ref="K53:L53"/>
    <mergeCell ref="O53:P53"/>
    <mergeCell ref="E54:G54"/>
    <mergeCell ref="H54:I54"/>
    <mergeCell ref="K54:L54"/>
    <mergeCell ref="O54:P54"/>
    <mergeCell ref="C49:D85"/>
    <mergeCell ref="E49:G49"/>
    <mergeCell ref="H49:I49"/>
    <mergeCell ref="K49:L49"/>
    <mergeCell ref="O49:P49"/>
    <mergeCell ref="E50:G50"/>
    <mergeCell ref="H50:I50"/>
    <mergeCell ref="K50:L50"/>
    <mergeCell ref="O50:P50"/>
    <mergeCell ref="E51:G51"/>
    <mergeCell ref="H51:I51"/>
    <mergeCell ref="K51:L51"/>
    <mergeCell ref="O51:P51"/>
    <mergeCell ref="E52:G52"/>
    <mergeCell ref="H52:I52"/>
    <mergeCell ref="K52:L52"/>
    <mergeCell ref="O52:P52"/>
    <mergeCell ref="E59:G59"/>
    <mergeCell ref="H59:I59"/>
    <mergeCell ref="K59:L59"/>
    <mergeCell ref="O59:P59"/>
    <mergeCell ref="E60:G60"/>
    <mergeCell ref="H60:I60"/>
    <mergeCell ref="K60:L60"/>
    <mergeCell ref="E46:G46"/>
    <mergeCell ref="H46:I46"/>
    <mergeCell ref="K46:L46"/>
    <mergeCell ref="O46:P46"/>
    <mergeCell ref="E47:G47"/>
    <mergeCell ref="H47:I47"/>
    <mergeCell ref="K47:L47"/>
    <mergeCell ref="O47:P47"/>
    <mergeCell ref="E44:G44"/>
    <mergeCell ref="H44:I44"/>
    <mergeCell ref="K44:L44"/>
    <mergeCell ref="O44:P44"/>
    <mergeCell ref="E45:G45"/>
    <mergeCell ref="H45:I45"/>
    <mergeCell ref="K45:L45"/>
    <mergeCell ref="O45:P45"/>
    <mergeCell ref="E42:G42"/>
    <mergeCell ref="H42:I42"/>
    <mergeCell ref="K42:L42"/>
    <mergeCell ref="O42:P42"/>
    <mergeCell ref="E43:G43"/>
    <mergeCell ref="H43:I43"/>
    <mergeCell ref="K43:L43"/>
    <mergeCell ref="O43:P43"/>
    <mergeCell ref="E40:G40"/>
    <mergeCell ref="H40:I40"/>
    <mergeCell ref="K40:L40"/>
    <mergeCell ref="O40:P40"/>
    <mergeCell ref="E41:G41"/>
    <mergeCell ref="H41:I41"/>
    <mergeCell ref="K41:L41"/>
    <mergeCell ref="O41:P41"/>
    <mergeCell ref="E38:G38"/>
    <mergeCell ref="H38:I38"/>
    <mergeCell ref="K38:L38"/>
    <mergeCell ref="O38:P38"/>
    <mergeCell ref="E39:G39"/>
    <mergeCell ref="H39:I39"/>
    <mergeCell ref="K39:L39"/>
    <mergeCell ref="O39:P39"/>
    <mergeCell ref="E36:G36"/>
    <mergeCell ref="H36:I36"/>
    <mergeCell ref="K36:L36"/>
    <mergeCell ref="O36:P36"/>
    <mergeCell ref="E37:G37"/>
    <mergeCell ref="H37:I37"/>
    <mergeCell ref="K37:L37"/>
    <mergeCell ref="O37:P37"/>
    <mergeCell ref="E34:G34"/>
    <mergeCell ref="H34:I34"/>
    <mergeCell ref="K34:L34"/>
    <mergeCell ref="O34:P34"/>
    <mergeCell ref="E35:G35"/>
    <mergeCell ref="H35:I35"/>
    <mergeCell ref="K35:L35"/>
    <mergeCell ref="O35:P35"/>
    <mergeCell ref="E32:G32"/>
    <mergeCell ref="H32:I32"/>
    <mergeCell ref="K32:L32"/>
    <mergeCell ref="O32:P32"/>
    <mergeCell ref="E33:G33"/>
    <mergeCell ref="H33:I33"/>
    <mergeCell ref="K33:L33"/>
    <mergeCell ref="O33:P33"/>
    <mergeCell ref="E30:G30"/>
    <mergeCell ref="H30:I30"/>
    <mergeCell ref="K30:L30"/>
    <mergeCell ref="O30:P30"/>
    <mergeCell ref="E31:G31"/>
    <mergeCell ref="H31:I31"/>
    <mergeCell ref="K31:L31"/>
    <mergeCell ref="O31:P31"/>
    <mergeCell ref="E28:G28"/>
    <mergeCell ref="H28:I28"/>
    <mergeCell ref="K28:L28"/>
    <mergeCell ref="O28:P28"/>
    <mergeCell ref="E29:G29"/>
    <mergeCell ref="H29:I29"/>
    <mergeCell ref="K29:L29"/>
    <mergeCell ref="O29:P29"/>
    <mergeCell ref="E26:G26"/>
    <mergeCell ref="H26:I26"/>
    <mergeCell ref="K26:L26"/>
    <mergeCell ref="O26:P26"/>
    <mergeCell ref="E27:G27"/>
    <mergeCell ref="H27:I27"/>
    <mergeCell ref="K27:L27"/>
    <mergeCell ref="O27:P27"/>
    <mergeCell ref="E24:G24"/>
    <mergeCell ref="H24:I24"/>
    <mergeCell ref="K24:L24"/>
    <mergeCell ref="O24:P24"/>
    <mergeCell ref="E25:G25"/>
    <mergeCell ref="H25:I25"/>
    <mergeCell ref="K25:L25"/>
    <mergeCell ref="O25:P25"/>
    <mergeCell ref="E23:G23"/>
    <mergeCell ref="H23:I23"/>
    <mergeCell ref="K23:L23"/>
    <mergeCell ref="O23:P23"/>
    <mergeCell ref="O20:P20"/>
    <mergeCell ref="E21:G21"/>
    <mergeCell ref="H21:I21"/>
    <mergeCell ref="K21:L21"/>
    <mergeCell ref="O21:P21"/>
    <mergeCell ref="K19:L19"/>
    <mergeCell ref="O19:P19"/>
    <mergeCell ref="O16:P16"/>
    <mergeCell ref="E17:G17"/>
    <mergeCell ref="H17:I17"/>
    <mergeCell ref="K17:L17"/>
    <mergeCell ref="O17:P17"/>
    <mergeCell ref="K22:L22"/>
    <mergeCell ref="O22:P22"/>
    <mergeCell ref="O14:P14"/>
    <mergeCell ref="E15:G15"/>
    <mergeCell ref="H15:I15"/>
    <mergeCell ref="K15:L15"/>
    <mergeCell ref="O15:P15"/>
    <mergeCell ref="B14:B116"/>
    <mergeCell ref="C14:D48"/>
    <mergeCell ref="E14:G14"/>
    <mergeCell ref="H14:I14"/>
    <mergeCell ref="K14:L14"/>
    <mergeCell ref="E16:G16"/>
    <mergeCell ref="H16:I16"/>
    <mergeCell ref="K16:L16"/>
    <mergeCell ref="E18:G18"/>
    <mergeCell ref="H18:I18"/>
    <mergeCell ref="K18:L18"/>
    <mergeCell ref="E20:G20"/>
    <mergeCell ref="H20:I20"/>
    <mergeCell ref="K20:L20"/>
    <mergeCell ref="E22:G22"/>
    <mergeCell ref="H22:I22"/>
    <mergeCell ref="O18:P18"/>
    <mergeCell ref="E19:G19"/>
    <mergeCell ref="H19:I19"/>
    <mergeCell ref="L9:R11"/>
    <mergeCell ref="B11:E11"/>
    <mergeCell ref="G11:H11"/>
    <mergeCell ref="C13:D13"/>
    <mergeCell ref="E13:G13"/>
    <mergeCell ref="H13:I13"/>
    <mergeCell ref="K13:L13"/>
    <mergeCell ref="O13:P13"/>
    <mergeCell ref="A3:I3"/>
    <mergeCell ref="A5:I5"/>
    <mergeCell ref="A6:I6"/>
    <mergeCell ref="A7:I7"/>
    <mergeCell ref="B9:C9"/>
  </mergeCells>
  <printOptions horizontalCentered="1"/>
  <pageMargins left="0.75" right="0.75" top="1" bottom="1" header="0.5" footer="0.5"/>
  <pageSetup scale="86" orientation="portrait" r:id="rId1"/>
  <headerFooter alignWithMargins="0">
    <oddFooter>&amp;C&amp;"Times New Roman,Regular"Page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84DB2-9D6F-457A-9CEF-0CF0FDA2B131}">
  <sheetPr>
    <tabColor theme="9" tint="0.79998168889431442"/>
  </sheetPr>
  <dimension ref="A1:AC87"/>
  <sheetViews>
    <sheetView topLeftCell="B44" zoomScaleNormal="100" workbookViewId="0">
      <selection activeCell="AC60" sqref="AC60"/>
    </sheetView>
  </sheetViews>
  <sheetFormatPr defaultColWidth="9.140625" defaultRowHeight="12.75"/>
  <cols>
    <col min="1" max="1" width="11" style="213" customWidth="1"/>
    <col min="2" max="2" width="70.85546875" style="213" customWidth="1"/>
    <col min="3" max="3" width="12" style="213" hidden="1" customWidth="1"/>
    <col min="4" max="4" width="30.28515625" style="213" hidden="1" customWidth="1"/>
    <col min="5" max="5" width="8.140625" style="213" hidden="1" customWidth="1"/>
    <col min="6" max="6" width="12" style="213" hidden="1" customWidth="1"/>
    <col min="7" max="7" width="12" style="213" bestFit="1" customWidth="1"/>
    <col min="8" max="8" width="9.5703125" style="213" hidden="1" customWidth="1"/>
    <col min="9" max="9" width="51" style="213" hidden="1" customWidth="1"/>
    <col min="10" max="10" width="3.85546875" style="213" hidden="1" customWidth="1"/>
    <col min="11" max="13" width="0" style="213" hidden="1" customWidth="1"/>
    <col min="14" max="14" width="9.140625" style="213"/>
    <col min="15" max="15" width="10.42578125" style="213" bestFit="1" customWidth="1"/>
    <col min="16" max="16" width="70" style="213" customWidth="1"/>
    <col min="17" max="20" width="0" style="213" hidden="1" customWidth="1"/>
    <col min="21" max="21" width="12" style="213" bestFit="1" customWidth="1"/>
    <col min="22" max="26" width="0" style="213" hidden="1" customWidth="1"/>
    <col min="27" max="27" width="10.140625" style="213" bestFit="1" customWidth="1"/>
    <col min="28" max="28" width="9.5703125" style="213" bestFit="1" customWidth="1"/>
    <col min="29" max="29" width="75.5703125" style="213" bestFit="1" customWidth="1"/>
    <col min="30" max="16384" width="9.140625" style="213"/>
  </cols>
  <sheetData>
    <row r="1" spans="1:29" s="261" customFormat="1" ht="15">
      <c r="A1" s="262" t="s">
        <v>22</v>
      </c>
      <c r="J1" s="325" t="s">
        <v>23</v>
      </c>
    </row>
    <row r="2" spans="1:29" s="261" customFormat="1" ht="13.5" customHeight="1">
      <c r="A2" s="262"/>
    </row>
    <row r="3" spans="1:29" ht="43.5" customHeight="1">
      <c r="A3" s="1076" t="s">
        <v>476</v>
      </c>
      <c r="B3" s="1076"/>
      <c r="C3" s="1076"/>
      <c r="D3" s="1076"/>
      <c r="E3" s="1076"/>
      <c r="F3" s="1076"/>
      <c r="G3" s="1076"/>
      <c r="H3" s="1076"/>
      <c r="I3" s="1076"/>
    </row>
    <row r="5" spans="1:29" ht="123.75" customHeight="1">
      <c r="A5" s="1060" t="s">
        <v>477</v>
      </c>
      <c r="B5" s="1060"/>
      <c r="C5" s="1060"/>
      <c r="D5" s="1060"/>
      <c r="E5" s="1060"/>
      <c r="F5" s="1060"/>
      <c r="G5" s="1061"/>
      <c r="H5" s="1061"/>
      <c r="I5" s="1061"/>
    </row>
    <row r="6" spans="1:29" ht="115.5" customHeight="1">
      <c r="A6" s="1077" t="s">
        <v>478</v>
      </c>
      <c r="B6" s="1062"/>
      <c r="C6" s="1062"/>
      <c r="D6" s="1062"/>
      <c r="E6" s="1062"/>
      <c r="F6" s="1062"/>
      <c r="G6" s="1063"/>
      <c r="H6" s="1063"/>
      <c r="I6" s="1063"/>
    </row>
    <row r="7" spans="1:29" ht="15.75">
      <c r="A7" s="470"/>
      <c r="B7" s="471"/>
      <c r="C7" s="471"/>
      <c r="D7" s="471"/>
      <c r="E7" s="471"/>
      <c r="F7" s="471"/>
      <c r="G7" s="469"/>
      <c r="H7" s="469"/>
      <c r="I7" s="469"/>
    </row>
    <row r="8" spans="1:29" ht="15.75">
      <c r="A8" s="470"/>
      <c r="B8" s="471"/>
      <c r="C8" s="471"/>
      <c r="D8" s="471"/>
      <c r="E8" s="471"/>
      <c r="F8" s="471"/>
      <c r="G8" s="469"/>
      <c r="H8" s="469"/>
      <c r="I8" s="469"/>
    </row>
    <row r="9" spans="1:29" s="337" customFormat="1" ht="18.75">
      <c r="A9" s="331">
        <v>2026</v>
      </c>
      <c r="B9" s="332">
        <v>2026</v>
      </c>
      <c r="C9" s="332">
        <v>2018</v>
      </c>
      <c r="D9" s="332">
        <v>2018</v>
      </c>
      <c r="E9" s="332">
        <v>2018</v>
      </c>
      <c r="F9" s="332">
        <v>2018</v>
      </c>
      <c r="G9" s="333">
        <v>2026</v>
      </c>
      <c r="H9" s="334">
        <v>2018</v>
      </c>
      <c r="I9" s="334">
        <v>2018</v>
      </c>
      <c r="J9" s="334">
        <v>2018</v>
      </c>
      <c r="K9" s="334">
        <v>2018</v>
      </c>
      <c r="L9" s="334">
        <v>2018</v>
      </c>
      <c r="M9" s="334"/>
      <c r="N9" s="335"/>
      <c r="O9" s="334">
        <v>2027</v>
      </c>
      <c r="P9" s="334">
        <v>2027</v>
      </c>
      <c r="Q9" s="334">
        <v>2019</v>
      </c>
      <c r="R9" s="334">
        <v>2019</v>
      </c>
      <c r="S9" s="334">
        <v>2019</v>
      </c>
      <c r="T9" s="334">
        <v>2019</v>
      </c>
      <c r="U9" s="336">
        <v>2027</v>
      </c>
      <c r="V9" s="334">
        <v>2019</v>
      </c>
      <c r="W9" s="334">
        <v>2019</v>
      </c>
      <c r="X9" s="334">
        <v>2019</v>
      </c>
      <c r="Y9" s="334">
        <v>2019</v>
      </c>
      <c r="Z9" s="335"/>
    </row>
    <row r="10" spans="1:29" s="338" customFormat="1" ht="15">
      <c r="A10" s="343" t="s">
        <v>479</v>
      </c>
      <c r="B10" s="343" t="s">
        <v>480</v>
      </c>
      <c r="C10" s="343" t="s">
        <v>127</v>
      </c>
      <c r="D10" s="344" t="s">
        <v>481</v>
      </c>
      <c r="E10" s="343" t="s">
        <v>482</v>
      </c>
      <c r="F10" s="343" t="s">
        <v>483</v>
      </c>
      <c r="G10" s="344" t="s">
        <v>484</v>
      </c>
      <c r="H10" s="343" t="s">
        <v>485</v>
      </c>
      <c r="I10" s="343" t="s">
        <v>486</v>
      </c>
      <c r="J10" s="343" t="s">
        <v>487</v>
      </c>
      <c r="K10" s="343" t="s">
        <v>488</v>
      </c>
      <c r="L10" s="343"/>
      <c r="M10" s="343"/>
      <c r="N10" s="343"/>
      <c r="O10" s="343" t="s">
        <v>479</v>
      </c>
      <c r="P10" s="343" t="s">
        <v>480</v>
      </c>
      <c r="Q10" s="343" t="s">
        <v>127</v>
      </c>
      <c r="R10" s="343" t="s">
        <v>481</v>
      </c>
      <c r="S10" s="343" t="s">
        <v>482</v>
      </c>
      <c r="T10" s="343" t="s">
        <v>483</v>
      </c>
      <c r="U10" s="344" t="s">
        <v>484</v>
      </c>
      <c r="V10" s="343" t="s">
        <v>485</v>
      </c>
      <c r="W10" s="343" t="s">
        <v>486</v>
      </c>
      <c r="X10" s="343" t="s">
        <v>487</v>
      </c>
      <c r="Y10" s="343" t="s">
        <v>488</v>
      </c>
      <c r="Z10" s="343"/>
      <c r="AA10" s="345" t="s">
        <v>489</v>
      </c>
      <c r="AB10" s="345" t="s">
        <v>490</v>
      </c>
      <c r="AC10" s="345" t="s">
        <v>491</v>
      </c>
    </row>
    <row r="11" spans="1:29" customFormat="1">
      <c r="A11" s="340" t="s">
        <v>404</v>
      </c>
      <c r="B11" s="340" t="s">
        <v>492</v>
      </c>
      <c r="C11" s="340">
        <v>1</v>
      </c>
      <c r="D11" s="339">
        <v>850275.48</v>
      </c>
      <c r="E11" s="340">
        <v>114943</v>
      </c>
      <c r="F11" s="340">
        <v>8.16</v>
      </c>
      <c r="G11" s="339">
        <v>9.2799999999999994</v>
      </c>
      <c r="H11" s="340">
        <v>6.62</v>
      </c>
      <c r="I11" s="340">
        <v>9.06</v>
      </c>
      <c r="J11" s="340">
        <v>10.77</v>
      </c>
      <c r="K11" s="340">
        <v>7.35</v>
      </c>
      <c r="L11" s="340"/>
      <c r="M11" s="340"/>
      <c r="N11" s="340"/>
      <c r="O11" s="340" t="s">
        <v>404</v>
      </c>
      <c r="P11" s="340" t="s">
        <v>492</v>
      </c>
      <c r="Q11" s="340">
        <v>1</v>
      </c>
      <c r="R11" s="340">
        <v>700973.53</v>
      </c>
      <c r="S11" s="340">
        <v>33931</v>
      </c>
      <c r="T11" s="340">
        <v>8.33</v>
      </c>
      <c r="U11" s="339">
        <v>9.42</v>
      </c>
      <c r="V11" s="340">
        <v>6.75</v>
      </c>
      <c r="W11" s="340">
        <v>9.25</v>
      </c>
      <c r="X11" s="340">
        <v>11</v>
      </c>
      <c r="Y11" s="340">
        <v>7.5</v>
      </c>
      <c r="Z11" s="340"/>
      <c r="AA11" s="341">
        <f t="shared" ref="AA11:AA42" si="0">SUM(U11-G11)</f>
        <v>0.14000000000000057</v>
      </c>
      <c r="AB11" s="342">
        <f t="shared" ref="AB11:AB18" si="1">SUM(AA11/G11)</f>
        <v>1.5086206896551787E-2</v>
      </c>
      <c r="AC11" s="447"/>
    </row>
    <row r="12" spans="1:29" customFormat="1">
      <c r="A12" s="340" t="s">
        <v>404</v>
      </c>
      <c r="B12" s="340" t="s">
        <v>493</v>
      </c>
      <c r="C12" s="340">
        <v>1</v>
      </c>
      <c r="D12" s="339">
        <v>850275.48</v>
      </c>
      <c r="E12" s="340">
        <v>114943</v>
      </c>
      <c r="F12" s="340">
        <v>8.16</v>
      </c>
      <c r="G12" s="339">
        <v>9.2799999999999994</v>
      </c>
      <c r="H12" s="340"/>
      <c r="I12" s="340"/>
      <c r="J12" s="340"/>
      <c r="K12" s="340"/>
      <c r="L12" s="340"/>
      <c r="M12" s="340"/>
      <c r="N12" s="340"/>
      <c r="O12" s="340" t="s">
        <v>404</v>
      </c>
      <c r="P12" s="340" t="s">
        <v>493</v>
      </c>
      <c r="Q12" s="340"/>
      <c r="R12" s="340"/>
      <c r="S12" s="340"/>
      <c r="T12" s="340"/>
      <c r="U12" s="339">
        <v>9.42</v>
      </c>
      <c r="V12" s="340"/>
      <c r="W12" s="340"/>
      <c r="X12" s="340"/>
      <c r="Y12" s="340"/>
      <c r="Z12" s="340"/>
      <c r="AA12" s="341">
        <f t="shared" si="0"/>
        <v>0.14000000000000057</v>
      </c>
      <c r="AB12" s="342">
        <f t="shared" si="1"/>
        <v>1.5086206896551787E-2</v>
      </c>
      <c r="AC12" s="340"/>
    </row>
    <row r="13" spans="1:29" customFormat="1" ht="15">
      <c r="A13" s="340" t="s">
        <v>404</v>
      </c>
      <c r="B13" s="507" t="s">
        <v>494</v>
      </c>
      <c r="C13" s="340"/>
      <c r="D13" s="339"/>
      <c r="E13" s="340"/>
      <c r="F13" s="340"/>
      <c r="G13" s="339">
        <v>9.2799999999999994</v>
      </c>
      <c r="H13" s="340"/>
      <c r="I13" s="340"/>
      <c r="J13" s="340"/>
      <c r="K13" s="340"/>
      <c r="L13" s="340"/>
      <c r="M13" s="340"/>
      <c r="N13" s="340"/>
      <c r="O13" s="340" t="s">
        <v>404</v>
      </c>
      <c r="P13" s="507" t="s">
        <v>494</v>
      </c>
      <c r="Q13" s="340"/>
      <c r="R13" s="340"/>
      <c r="S13" s="340"/>
      <c r="T13" s="340"/>
      <c r="U13" s="339">
        <v>9.42</v>
      </c>
      <c r="V13" s="340"/>
      <c r="W13" s="340"/>
      <c r="X13" s="340"/>
      <c r="Y13" s="340"/>
      <c r="Z13" s="340"/>
      <c r="AA13" s="341">
        <f t="shared" si="0"/>
        <v>0.14000000000000057</v>
      </c>
      <c r="AB13" s="342">
        <f t="shared" si="1"/>
        <v>1.5086206896551787E-2</v>
      </c>
      <c r="AC13" s="340"/>
    </row>
    <row r="14" spans="1:29" customFormat="1" ht="15">
      <c r="A14" s="340" t="s">
        <v>404</v>
      </c>
      <c r="B14" s="507" t="s">
        <v>495</v>
      </c>
      <c r="C14" s="340"/>
      <c r="D14" s="339"/>
      <c r="E14" s="340"/>
      <c r="F14" s="340"/>
      <c r="G14" s="339">
        <v>9.2799999999999994</v>
      </c>
      <c r="H14" s="340"/>
      <c r="I14" s="340"/>
      <c r="J14" s="340"/>
      <c r="K14" s="340"/>
      <c r="L14" s="340"/>
      <c r="M14" s="340"/>
      <c r="N14" s="340"/>
      <c r="O14" s="340" t="s">
        <v>404</v>
      </c>
      <c r="P14" s="507" t="s">
        <v>495</v>
      </c>
      <c r="Q14" s="340"/>
      <c r="R14" s="340"/>
      <c r="S14" s="340"/>
      <c r="T14" s="340"/>
      <c r="U14" s="339">
        <v>9.42</v>
      </c>
      <c r="V14" s="340"/>
      <c r="W14" s="340"/>
      <c r="X14" s="340"/>
      <c r="Y14" s="340"/>
      <c r="Z14" s="340"/>
      <c r="AA14" s="341">
        <f t="shared" si="0"/>
        <v>0.14000000000000057</v>
      </c>
      <c r="AB14" s="342">
        <f t="shared" si="1"/>
        <v>1.5086206896551787E-2</v>
      </c>
      <c r="AC14" s="340"/>
    </row>
    <row r="15" spans="1:29" customFormat="1" ht="15">
      <c r="A15" s="340" t="s">
        <v>404</v>
      </c>
      <c r="B15" s="507" t="s">
        <v>496</v>
      </c>
      <c r="C15" s="340"/>
      <c r="D15" s="339"/>
      <c r="E15" s="340"/>
      <c r="F15" s="340"/>
      <c r="G15" s="339">
        <v>9.2799999999999994</v>
      </c>
      <c r="H15" s="340"/>
      <c r="I15" s="340"/>
      <c r="J15" s="340"/>
      <c r="K15" s="340"/>
      <c r="L15" s="340"/>
      <c r="M15" s="340"/>
      <c r="N15" s="340"/>
      <c r="O15" s="340" t="s">
        <v>404</v>
      </c>
      <c r="P15" s="507" t="s">
        <v>496</v>
      </c>
      <c r="Q15" s="340"/>
      <c r="R15" s="340"/>
      <c r="S15" s="340"/>
      <c r="T15" s="340"/>
      <c r="U15" s="339">
        <v>9.42</v>
      </c>
      <c r="V15" s="340"/>
      <c r="W15" s="340"/>
      <c r="X15" s="340"/>
      <c r="Y15" s="340"/>
      <c r="Z15" s="340"/>
      <c r="AA15" s="341">
        <f t="shared" si="0"/>
        <v>0.14000000000000057</v>
      </c>
      <c r="AB15" s="342">
        <f t="shared" si="1"/>
        <v>1.5086206896551787E-2</v>
      </c>
      <c r="AC15" s="340"/>
    </row>
    <row r="16" spans="1:29" customFormat="1" ht="15">
      <c r="A16" s="340" t="s">
        <v>404</v>
      </c>
      <c r="B16" s="507" t="s">
        <v>497</v>
      </c>
      <c r="C16" s="340"/>
      <c r="D16" s="339"/>
      <c r="E16" s="340"/>
      <c r="F16" s="340"/>
      <c r="G16" s="339">
        <v>9.2799999999999994</v>
      </c>
      <c r="H16" s="340"/>
      <c r="I16" s="340"/>
      <c r="J16" s="340"/>
      <c r="K16" s="340"/>
      <c r="L16" s="340"/>
      <c r="M16" s="340"/>
      <c r="N16" s="340"/>
      <c r="O16" s="340" t="s">
        <v>404</v>
      </c>
      <c r="P16" s="507" t="s">
        <v>497</v>
      </c>
      <c r="Q16" s="340"/>
      <c r="R16" s="339"/>
      <c r="S16" s="340"/>
      <c r="T16" s="340"/>
      <c r="U16" s="339">
        <v>9.42</v>
      </c>
      <c r="V16" s="340"/>
      <c r="W16" s="340"/>
      <c r="X16" s="340"/>
      <c r="Y16" s="340"/>
      <c r="Z16" s="340"/>
      <c r="AA16" s="341">
        <f t="shared" si="0"/>
        <v>0.14000000000000057</v>
      </c>
      <c r="AB16" s="342">
        <f t="shared" si="1"/>
        <v>1.5086206896551787E-2</v>
      </c>
      <c r="AC16" s="340"/>
    </row>
    <row r="17" spans="1:29" customFormat="1" ht="15">
      <c r="A17" s="755"/>
      <c r="B17" s="756"/>
      <c r="C17" s="755">
        <v>1</v>
      </c>
      <c r="D17" s="757">
        <v>850275.48</v>
      </c>
      <c r="E17" s="755">
        <v>114943</v>
      </c>
      <c r="F17" s="755">
        <v>8.16</v>
      </c>
      <c r="G17" s="757"/>
      <c r="H17" s="340">
        <v>6.62</v>
      </c>
      <c r="I17" s="340">
        <v>9.06</v>
      </c>
      <c r="J17" s="340">
        <v>10.77</v>
      </c>
      <c r="K17" s="340">
        <v>7.35</v>
      </c>
      <c r="L17" s="340"/>
      <c r="M17" s="340"/>
      <c r="N17" s="340"/>
      <c r="O17" s="340" t="s">
        <v>404</v>
      </c>
      <c r="P17" s="507" t="s">
        <v>498</v>
      </c>
      <c r="Q17" s="340">
        <v>1</v>
      </c>
      <c r="R17" s="340">
        <v>700973.53</v>
      </c>
      <c r="S17" s="340">
        <v>33931</v>
      </c>
      <c r="T17" s="340">
        <v>8.33</v>
      </c>
      <c r="U17" s="339">
        <v>9.42</v>
      </c>
      <c r="V17" s="340">
        <v>6.75</v>
      </c>
      <c r="W17" s="340">
        <v>9.25</v>
      </c>
      <c r="X17" s="340">
        <v>11</v>
      </c>
      <c r="Y17" s="340">
        <v>7.5</v>
      </c>
      <c r="Z17" s="340"/>
      <c r="AA17" s="341">
        <f t="shared" si="0"/>
        <v>9.42</v>
      </c>
      <c r="AB17" s="342">
        <v>1</v>
      </c>
      <c r="AC17" s="447" t="s">
        <v>499</v>
      </c>
    </row>
    <row r="18" spans="1:29" customFormat="1" ht="15">
      <c r="A18" s="340" t="s">
        <v>404</v>
      </c>
      <c r="B18" s="507" t="s">
        <v>500</v>
      </c>
      <c r="D18" s="508"/>
      <c r="G18" s="339">
        <v>8.8800000000000008</v>
      </c>
      <c r="N18" s="340"/>
      <c r="O18" s="340" t="s">
        <v>404</v>
      </c>
      <c r="P18" s="507" t="s">
        <v>500</v>
      </c>
      <c r="Q18" s="340">
        <v>1</v>
      </c>
      <c r="R18" s="340">
        <v>700973.53</v>
      </c>
      <c r="S18" s="340">
        <v>33931</v>
      </c>
      <c r="T18" s="340">
        <v>8.33</v>
      </c>
      <c r="U18" s="339">
        <v>9.3000000000000007</v>
      </c>
      <c r="V18" s="340">
        <v>6.75</v>
      </c>
      <c r="W18" s="340">
        <v>9.25</v>
      </c>
      <c r="X18" s="340">
        <v>11</v>
      </c>
      <c r="Y18" s="340">
        <v>7.5</v>
      </c>
      <c r="Z18" s="340"/>
      <c r="AA18" s="341">
        <f t="shared" si="0"/>
        <v>0.41999999999999993</v>
      </c>
      <c r="AB18" s="342">
        <f t="shared" si="1"/>
        <v>4.7297297297297286E-2</v>
      </c>
      <c r="AC18" s="447"/>
    </row>
    <row r="19" spans="1:29" customFormat="1" ht="15">
      <c r="A19" s="340" t="s">
        <v>404</v>
      </c>
      <c r="B19" s="507" t="s">
        <v>501</v>
      </c>
      <c r="C19" s="340">
        <v>1</v>
      </c>
      <c r="D19" s="339">
        <v>850275.48</v>
      </c>
      <c r="E19" s="340">
        <v>114943</v>
      </c>
      <c r="F19" s="340">
        <v>8.16</v>
      </c>
      <c r="G19" s="339">
        <v>5.64</v>
      </c>
      <c r="H19" s="340">
        <v>6.62</v>
      </c>
      <c r="I19" s="340">
        <v>9.06</v>
      </c>
      <c r="J19" s="340">
        <v>10.77</v>
      </c>
      <c r="K19" s="340">
        <v>7.35</v>
      </c>
      <c r="L19" s="340"/>
      <c r="M19" s="340"/>
      <c r="N19" s="340"/>
      <c r="O19" s="340" t="s">
        <v>404</v>
      </c>
      <c r="P19" s="507" t="s">
        <v>501</v>
      </c>
      <c r="Q19" s="340">
        <v>1</v>
      </c>
      <c r="R19" s="340">
        <v>700973.53</v>
      </c>
      <c r="S19" s="340">
        <v>33931</v>
      </c>
      <c r="T19" s="340">
        <v>8.33</v>
      </c>
      <c r="U19" s="339">
        <v>5.64</v>
      </c>
      <c r="V19" s="340">
        <v>6.75</v>
      </c>
      <c r="W19" s="340">
        <v>9.25</v>
      </c>
      <c r="X19" s="340">
        <v>11</v>
      </c>
      <c r="Y19" s="340">
        <v>7.5</v>
      </c>
      <c r="Z19" s="340"/>
      <c r="AA19" s="341">
        <f t="shared" si="0"/>
        <v>0</v>
      </c>
      <c r="AB19" s="342">
        <f t="shared" ref="AB19" si="2">SUM(AA19/G19)</f>
        <v>0</v>
      </c>
      <c r="AC19" s="447"/>
    </row>
    <row r="20" spans="1:29" customFormat="1" ht="16.5" customHeight="1">
      <c r="A20" s="340" t="s">
        <v>404</v>
      </c>
      <c r="B20" s="507" t="s">
        <v>502</v>
      </c>
      <c r="C20" s="340">
        <v>1</v>
      </c>
      <c r="D20" s="339">
        <v>850275.48</v>
      </c>
      <c r="E20" s="340">
        <v>114943</v>
      </c>
      <c r="F20" s="340">
        <v>8.16</v>
      </c>
      <c r="G20" s="339">
        <v>86.67</v>
      </c>
      <c r="H20" s="340">
        <v>6.62</v>
      </c>
      <c r="I20" s="340">
        <v>9.06</v>
      </c>
      <c r="J20" s="340">
        <v>10.77</v>
      </c>
      <c r="K20" s="340">
        <v>7.35</v>
      </c>
      <c r="L20" s="340"/>
      <c r="M20" s="340"/>
      <c r="N20" s="340"/>
      <c r="O20" s="340" t="s">
        <v>404</v>
      </c>
      <c r="P20" s="507" t="s">
        <v>502</v>
      </c>
      <c r="Q20" s="340">
        <v>1</v>
      </c>
      <c r="R20" s="340">
        <v>700973.53</v>
      </c>
      <c r="S20" s="340">
        <v>33931</v>
      </c>
      <c r="T20" s="340">
        <v>8.33</v>
      </c>
      <c r="U20" s="339">
        <v>90.99</v>
      </c>
      <c r="V20" s="340">
        <v>6.75</v>
      </c>
      <c r="W20" s="340">
        <v>9.25</v>
      </c>
      <c r="X20" s="340">
        <v>11</v>
      </c>
      <c r="Y20" s="340">
        <v>7.5</v>
      </c>
      <c r="Z20" s="340"/>
      <c r="AA20" s="341">
        <f t="shared" si="0"/>
        <v>4.3199999999999932</v>
      </c>
      <c r="AB20" s="342">
        <f t="shared" ref="AB20" si="3">SUM(AA20/G20)</f>
        <v>4.9844236760124533E-2</v>
      </c>
      <c r="AC20" s="447"/>
    </row>
    <row r="21" spans="1:29" customFormat="1" ht="15">
      <c r="A21" s="340" t="s">
        <v>404</v>
      </c>
      <c r="B21" s="507" t="s">
        <v>503</v>
      </c>
      <c r="C21" s="340">
        <v>1</v>
      </c>
      <c r="D21" s="339">
        <v>850275.48</v>
      </c>
      <c r="E21" s="340">
        <v>114943</v>
      </c>
      <c r="F21" s="340">
        <v>8.16</v>
      </c>
      <c r="G21" s="339">
        <v>22.6</v>
      </c>
      <c r="H21" s="340">
        <v>6.62</v>
      </c>
      <c r="I21" s="340">
        <v>9.06</v>
      </c>
      <c r="J21" s="340">
        <v>10.77</v>
      </c>
      <c r="K21" s="340">
        <v>7.35</v>
      </c>
      <c r="L21" s="340"/>
      <c r="M21" s="340"/>
      <c r="N21" s="340"/>
      <c r="O21" s="340" t="s">
        <v>404</v>
      </c>
      <c r="P21" s="507" t="s">
        <v>503</v>
      </c>
      <c r="Q21" s="340">
        <v>1</v>
      </c>
      <c r="R21" s="340">
        <v>700973.53</v>
      </c>
      <c r="S21" s="340">
        <v>33931</v>
      </c>
      <c r="T21" s="340">
        <v>8.33</v>
      </c>
      <c r="U21" s="339">
        <v>22.6</v>
      </c>
      <c r="V21" s="340">
        <v>6.75</v>
      </c>
      <c r="W21" s="340">
        <v>9.25</v>
      </c>
      <c r="X21" s="340">
        <v>11</v>
      </c>
      <c r="Y21" s="340">
        <v>7.5</v>
      </c>
      <c r="Z21" s="340"/>
      <c r="AA21" s="341">
        <f t="shared" si="0"/>
        <v>0</v>
      </c>
      <c r="AB21" s="342">
        <f t="shared" ref="AB21" si="4">SUM(AA21/G21)</f>
        <v>0</v>
      </c>
      <c r="AC21" s="447"/>
    </row>
    <row r="22" spans="1:29" ht="15">
      <c r="A22" s="340" t="s">
        <v>404</v>
      </c>
      <c r="B22" s="507" t="s">
        <v>504</v>
      </c>
      <c r="C22" s="340">
        <v>1</v>
      </c>
      <c r="D22" s="339">
        <v>850275.48</v>
      </c>
      <c r="E22" s="340">
        <v>114943</v>
      </c>
      <c r="F22" s="340">
        <v>8.16</v>
      </c>
      <c r="G22" s="339">
        <v>25.6</v>
      </c>
      <c r="H22" s="340">
        <v>6.62</v>
      </c>
      <c r="I22" s="340">
        <v>9.06</v>
      </c>
      <c r="J22" s="340">
        <v>10.77</v>
      </c>
      <c r="K22" s="340">
        <v>7.35</v>
      </c>
      <c r="L22" s="340"/>
      <c r="M22" s="340"/>
      <c r="N22" s="340"/>
      <c r="O22" s="340" t="s">
        <v>404</v>
      </c>
      <c r="P22" s="507" t="s">
        <v>504</v>
      </c>
      <c r="Q22" s="340">
        <v>1</v>
      </c>
      <c r="R22" s="340">
        <v>700973.53</v>
      </c>
      <c r="S22" s="340">
        <v>33931</v>
      </c>
      <c r="T22" s="340">
        <v>8.33</v>
      </c>
      <c r="U22" s="339">
        <v>0</v>
      </c>
      <c r="V22" s="340">
        <v>6.75</v>
      </c>
      <c r="W22" s="340">
        <v>9.25</v>
      </c>
      <c r="X22" s="340">
        <v>11</v>
      </c>
      <c r="Y22" s="340">
        <v>7.5</v>
      </c>
      <c r="Z22" s="340"/>
      <c r="AA22" s="341">
        <f t="shared" si="0"/>
        <v>-25.6</v>
      </c>
      <c r="AB22" s="342">
        <f t="shared" ref="AB22" si="5">SUM(AA22/G22)</f>
        <v>-1</v>
      </c>
      <c r="AC22" s="447" t="s">
        <v>505</v>
      </c>
    </row>
    <row r="23" spans="1:29" ht="15">
      <c r="A23" s="340" t="s">
        <v>404</v>
      </c>
      <c r="B23" s="507" t="s">
        <v>506</v>
      </c>
      <c r="C23" s="340">
        <v>1</v>
      </c>
      <c r="D23" s="339">
        <v>850275.48</v>
      </c>
      <c r="E23" s="340">
        <v>114943</v>
      </c>
      <c r="F23" s="340">
        <v>8.16</v>
      </c>
      <c r="G23" s="339">
        <v>25.6</v>
      </c>
      <c r="H23" s="340">
        <v>6.62</v>
      </c>
      <c r="I23" s="340">
        <v>9.06</v>
      </c>
      <c r="J23" s="340">
        <v>10.77</v>
      </c>
      <c r="K23" s="340">
        <v>7.35</v>
      </c>
      <c r="L23" s="340"/>
      <c r="M23" s="340"/>
      <c r="N23" s="340"/>
      <c r="O23" s="340" t="s">
        <v>404</v>
      </c>
      <c r="P23" s="507" t="s">
        <v>506</v>
      </c>
      <c r="Q23" s="340">
        <v>1</v>
      </c>
      <c r="R23" s="340">
        <v>700973.53</v>
      </c>
      <c r="S23" s="340">
        <v>33931</v>
      </c>
      <c r="T23" s="340">
        <v>8.33</v>
      </c>
      <c r="U23" s="339">
        <v>26.75</v>
      </c>
      <c r="V23" s="340">
        <v>6.75</v>
      </c>
      <c r="W23" s="340">
        <v>9.25</v>
      </c>
      <c r="X23" s="340">
        <v>11</v>
      </c>
      <c r="Y23" s="340">
        <v>7.5</v>
      </c>
      <c r="Z23" s="340"/>
      <c r="AA23" s="341">
        <f t="shared" si="0"/>
        <v>1.1499999999999986</v>
      </c>
      <c r="AB23" s="342">
        <f t="shared" ref="AB23" si="6">SUM(AA23/G23)</f>
        <v>4.4921874999999944E-2</v>
      </c>
      <c r="AC23" s="447"/>
    </row>
    <row r="24" spans="1:29" ht="15">
      <c r="A24" s="340" t="s">
        <v>414</v>
      </c>
      <c r="B24" s="507" t="s">
        <v>507</v>
      </c>
      <c r="C24" s="340">
        <v>1</v>
      </c>
      <c r="D24" s="339">
        <v>850275.48</v>
      </c>
      <c r="E24" s="340">
        <v>114943</v>
      </c>
      <c r="F24" s="340">
        <v>8.16</v>
      </c>
      <c r="G24" s="339">
        <v>8.8800000000000008</v>
      </c>
      <c r="H24" s="340">
        <v>6.62</v>
      </c>
      <c r="I24" s="340">
        <v>9.06</v>
      </c>
      <c r="J24" s="340">
        <v>10.77</v>
      </c>
      <c r="K24" s="340">
        <v>7.35</v>
      </c>
      <c r="L24" s="340"/>
      <c r="M24" s="340"/>
      <c r="N24" s="340"/>
      <c r="O24" s="340" t="s">
        <v>414</v>
      </c>
      <c r="P24" s="507" t="s">
        <v>507</v>
      </c>
      <c r="Q24" s="340">
        <v>1</v>
      </c>
      <c r="R24" s="340">
        <v>700973.53</v>
      </c>
      <c r="S24" s="340">
        <v>33931</v>
      </c>
      <c r="T24" s="340">
        <v>8.33</v>
      </c>
      <c r="U24" s="339">
        <v>9.3000000000000007</v>
      </c>
      <c r="V24" s="340">
        <v>6.75</v>
      </c>
      <c r="W24" s="340">
        <v>9.25</v>
      </c>
      <c r="X24" s="340">
        <v>11</v>
      </c>
      <c r="Y24" s="340">
        <v>7.5</v>
      </c>
      <c r="Z24" s="340"/>
      <c r="AA24" s="341">
        <f t="shared" si="0"/>
        <v>0.41999999999999993</v>
      </c>
      <c r="AB24" s="342">
        <f t="shared" ref="AB24" si="7">SUM(AA24/G24)</f>
        <v>4.7297297297297286E-2</v>
      </c>
      <c r="AC24" s="447"/>
    </row>
    <row r="25" spans="1:29" ht="15">
      <c r="A25" s="340" t="s">
        <v>414</v>
      </c>
      <c r="B25" s="507" t="s">
        <v>508</v>
      </c>
      <c r="C25" s="340">
        <v>1</v>
      </c>
      <c r="D25" s="339">
        <v>850275.48</v>
      </c>
      <c r="E25" s="340">
        <v>114943</v>
      </c>
      <c r="F25" s="340">
        <v>8.16</v>
      </c>
      <c r="G25" s="339">
        <v>8.8800000000000008</v>
      </c>
      <c r="H25" s="340">
        <v>6.62</v>
      </c>
      <c r="I25" s="340">
        <v>9.06</v>
      </c>
      <c r="J25" s="340">
        <v>10.77</v>
      </c>
      <c r="K25" s="340">
        <v>7.35</v>
      </c>
      <c r="L25" s="340"/>
      <c r="M25" s="340"/>
      <c r="N25" s="340"/>
      <c r="O25" s="340" t="s">
        <v>414</v>
      </c>
      <c r="P25" s="507" t="s">
        <v>508</v>
      </c>
      <c r="Q25" s="340">
        <v>1</v>
      </c>
      <c r="R25" s="340">
        <v>700973.53</v>
      </c>
      <c r="S25" s="340">
        <v>33931</v>
      </c>
      <c r="T25" s="340">
        <v>8.33</v>
      </c>
      <c r="U25" s="339">
        <v>9.3000000000000007</v>
      </c>
      <c r="V25" s="340">
        <v>6.75</v>
      </c>
      <c r="W25" s="340">
        <v>9.25</v>
      </c>
      <c r="X25" s="340">
        <v>11</v>
      </c>
      <c r="Y25" s="340">
        <v>7.5</v>
      </c>
      <c r="Z25" s="340"/>
      <c r="AA25" s="341">
        <f t="shared" si="0"/>
        <v>0.41999999999999993</v>
      </c>
      <c r="AB25" s="342">
        <f t="shared" ref="AB25" si="8">SUM(AA25/G25)</f>
        <v>4.7297297297297286E-2</v>
      </c>
      <c r="AC25" s="447"/>
    </row>
    <row r="26" spans="1:29" ht="15">
      <c r="A26" s="340" t="s">
        <v>414</v>
      </c>
      <c r="B26" s="507" t="s">
        <v>509</v>
      </c>
      <c r="C26" s="340">
        <v>1</v>
      </c>
      <c r="D26" s="339">
        <v>850275.48</v>
      </c>
      <c r="E26" s="340">
        <v>114943</v>
      </c>
      <c r="F26" s="340">
        <v>8.16</v>
      </c>
      <c r="G26" s="339">
        <v>8.8800000000000008</v>
      </c>
      <c r="H26" s="340">
        <v>6.62</v>
      </c>
      <c r="I26" s="340">
        <v>9.06</v>
      </c>
      <c r="J26" s="340">
        <v>10.77</v>
      </c>
      <c r="K26" s="340">
        <v>7.35</v>
      </c>
      <c r="L26" s="340"/>
      <c r="M26" s="340"/>
      <c r="N26" s="340"/>
      <c r="O26" s="340" t="s">
        <v>414</v>
      </c>
      <c r="P26" s="507" t="s">
        <v>509</v>
      </c>
      <c r="Q26" s="340">
        <v>1</v>
      </c>
      <c r="R26" s="340">
        <v>700973.53</v>
      </c>
      <c r="S26" s="340">
        <v>33931</v>
      </c>
      <c r="T26" s="340">
        <v>8.33</v>
      </c>
      <c r="U26" s="339">
        <v>9.3000000000000007</v>
      </c>
      <c r="V26" s="340">
        <v>6.75</v>
      </c>
      <c r="W26" s="340">
        <v>9.25</v>
      </c>
      <c r="X26" s="340">
        <v>11</v>
      </c>
      <c r="Y26" s="340">
        <v>7.5</v>
      </c>
      <c r="Z26" s="340"/>
      <c r="AA26" s="341">
        <f t="shared" si="0"/>
        <v>0.41999999999999993</v>
      </c>
      <c r="AB26" s="342">
        <f t="shared" ref="AB26" si="9">SUM(AA26/G26)</f>
        <v>4.7297297297297286E-2</v>
      </c>
      <c r="AC26" s="447"/>
    </row>
    <row r="27" spans="1:29" ht="15">
      <c r="A27" s="340" t="s">
        <v>414</v>
      </c>
      <c r="B27" s="507" t="s">
        <v>501</v>
      </c>
      <c r="C27" s="340">
        <v>1</v>
      </c>
      <c r="D27" s="339">
        <v>850275.48</v>
      </c>
      <c r="E27" s="340">
        <v>114943</v>
      </c>
      <c r="F27" s="340">
        <v>8.16</v>
      </c>
      <c r="G27" s="339">
        <v>5.64</v>
      </c>
      <c r="H27" s="340">
        <v>6.62</v>
      </c>
      <c r="I27" s="340">
        <v>9.06</v>
      </c>
      <c r="J27" s="340">
        <v>10.77</v>
      </c>
      <c r="K27" s="340">
        <v>7.35</v>
      </c>
      <c r="L27" s="340"/>
      <c r="M27" s="340"/>
      <c r="N27" s="340"/>
      <c r="O27" s="340" t="s">
        <v>414</v>
      </c>
      <c r="P27" s="507" t="s">
        <v>501</v>
      </c>
      <c r="Q27" s="340">
        <v>1</v>
      </c>
      <c r="R27" s="340">
        <v>700973.53</v>
      </c>
      <c r="S27" s="340">
        <v>33931</v>
      </c>
      <c r="T27" s="340">
        <v>8.33</v>
      </c>
      <c r="U27" s="339">
        <v>5.64</v>
      </c>
      <c r="V27" s="340">
        <v>6.75</v>
      </c>
      <c r="W27" s="340">
        <v>9.25</v>
      </c>
      <c r="X27" s="340">
        <v>11</v>
      </c>
      <c r="Y27" s="340">
        <v>7.5</v>
      </c>
      <c r="Z27" s="340"/>
      <c r="AA27" s="341">
        <f t="shared" si="0"/>
        <v>0</v>
      </c>
      <c r="AB27" s="342">
        <f t="shared" ref="AB27" si="10">SUM(AA27/G27)</f>
        <v>0</v>
      </c>
      <c r="AC27" s="447"/>
    </row>
    <row r="28" spans="1:29" ht="15">
      <c r="A28" s="340" t="s">
        <v>414</v>
      </c>
      <c r="B28" s="507" t="s">
        <v>502</v>
      </c>
      <c r="C28" s="340">
        <v>1</v>
      </c>
      <c r="D28" s="339">
        <v>850275.48</v>
      </c>
      <c r="E28" s="340">
        <v>114943</v>
      </c>
      <c r="F28" s="340">
        <v>8.16</v>
      </c>
      <c r="G28" s="339">
        <v>87</v>
      </c>
      <c r="H28" s="340">
        <v>6.62</v>
      </c>
      <c r="I28" s="340">
        <v>9.06</v>
      </c>
      <c r="J28" s="340">
        <v>10.77</v>
      </c>
      <c r="K28" s="340">
        <v>7.35</v>
      </c>
      <c r="L28" s="340"/>
      <c r="M28" s="340"/>
      <c r="N28" s="340"/>
      <c r="O28" s="340" t="s">
        <v>414</v>
      </c>
      <c r="P28" s="507" t="s">
        <v>502</v>
      </c>
      <c r="Q28" s="340">
        <v>1</v>
      </c>
      <c r="R28" s="340">
        <v>700973.53</v>
      </c>
      <c r="S28" s="340">
        <v>33931</v>
      </c>
      <c r="T28" s="340">
        <v>8.33</v>
      </c>
      <c r="U28" s="339">
        <v>91.34</v>
      </c>
      <c r="V28" s="340">
        <v>6.75</v>
      </c>
      <c r="W28" s="340">
        <v>9.25</v>
      </c>
      <c r="X28" s="340">
        <v>11</v>
      </c>
      <c r="Y28" s="340">
        <v>7.5</v>
      </c>
      <c r="Z28" s="340"/>
      <c r="AA28" s="341">
        <f t="shared" si="0"/>
        <v>4.3400000000000034</v>
      </c>
      <c r="AB28" s="342">
        <f t="shared" ref="AB28" si="11">SUM(AA28/G28)</f>
        <v>4.9885057471264406E-2</v>
      </c>
      <c r="AC28" s="447"/>
    </row>
    <row r="29" spans="1:29" ht="15">
      <c r="A29" s="340" t="s">
        <v>414</v>
      </c>
      <c r="B29" s="507" t="s">
        <v>503</v>
      </c>
      <c r="C29" s="340">
        <v>1</v>
      </c>
      <c r="D29" s="339">
        <v>850275.48</v>
      </c>
      <c r="E29" s="340">
        <v>114943</v>
      </c>
      <c r="F29" s="340">
        <v>8.16</v>
      </c>
      <c r="G29" s="339">
        <v>22.6</v>
      </c>
      <c r="H29" s="340">
        <v>6.62</v>
      </c>
      <c r="I29" s="340">
        <v>9.06</v>
      </c>
      <c r="J29" s="340">
        <v>10.77</v>
      </c>
      <c r="K29" s="340">
        <v>7.35</v>
      </c>
      <c r="L29" s="340"/>
      <c r="M29" s="340"/>
      <c r="N29" s="340"/>
      <c r="O29" s="340" t="s">
        <v>414</v>
      </c>
      <c r="P29" s="507" t="s">
        <v>503</v>
      </c>
      <c r="Q29" s="340">
        <v>1</v>
      </c>
      <c r="R29" s="340">
        <v>700973.53</v>
      </c>
      <c r="S29" s="340">
        <v>33931</v>
      </c>
      <c r="T29" s="340">
        <v>8.33</v>
      </c>
      <c r="U29" s="339">
        <v>22.6</v>
      </c>
      <c r="V29" s="340">
        <v>6.75</v>
      </c>
      <c r="W29" s="340">
        <v>9.25</v>
      </c>
      <c r="X29" s="340">
        <v>11</v>
      </c>
      <c r="Y29" s="340">
        <v>7.5</v>
      </c>
      <c r="Z29" s="340"/>
      <c r="AA29" s="341">
        <f t="shared" si="0"/>
        <v>0</v>
      </c>
      <c r="AB29" s="342">
        <f t="shared" ref="AB29" si="12">SUM(AA29/G29)</f>
        <v>0</v>
      </c>
      <c r="AC29" s="447"/>
    </row>
    <row r="30" spans="1:29" ht="15">
      <c r="A30" s="340" t="s">
        <v>414</v>
      </c>
      <c r="B30" s="507" t="s">
        <v>510</v>
      </c>
      <c r="C30" s="340">
        <v>1</v>
      </c>
      <c r="D30" s="339">
        <v>850275.48</v>
      </c>
      <c r="E30" s="340">
        <v>114943</v>
      </c>
      <c r="F30" s="340">
        <v>8.16</v>
      </c>
      <c r="G30" s="339">
        <v>25.6</v>
      </c>
      <c r="H30" s="340">
        <v>6.62</v>
      </c>
      <c r="I30" s="340">
        <v>9.06</v>
      </c>
      <c r="J30" s="340">
        <v>10.77</v>
      </c>
      <c r="K30" s="340">
        <v>7.35</v>
      </c>
      <c r="L30" s="340"/>
      <c r="M30" s="340"/>
      <c r="N30" s="340"/>
      <c r="O30" s="340" t="s">
        <v>414</v>
      </c>
      <c r="P30" s="507" t="s">
        <v>510</v>
      </c>
      <c r="Q30" s="340">
        <v>1</v>
      </c>
      <c r="R30" s="340">
        <v>700973.53</v>
      </c>
      <c r="S30" s="340">
        <v>33931</v>
      </c>
      <c r="T30" s="340">
        <v>8.33</v>
      </c>
      <c r="U30" s="339">
        <v>0</v>
      </c>
      <c r="V30" s="340">
        <v>6.75</v>
      </c>
      <c r="W30" s="340">
        <v>9.25</v>
      </c>
      <c r="X30" s="340">
        <v>11</v>
      </c>
      <c r="Y30" s="340">
        <v>7.5</v>
      </c>
      <c r="Z30" s="340"/>
      <c r="AA30" s="341">
        <f t="shared" si="0"/>
        <v>-25.6</v>
      </c>
      <c r="AB30" s="342">
        <f t="shared" ref="AB30" si="13">SUM(AA30/G30)</f>
        <v>-1</v>
      </c>
      <c r="AC30" s="447" t="s">
        <v>505</v>
      </c>
    </row>
    <row r="31" spans="1:29" ht="15">
      <c r="A31" s="340" t="s">
        <v>414</v>
      </c>
      <c r="B31" s="507" t="s">
        <v>506</v>
      </c>
      <c r="C31" s="340">
        <v>1</v>
      </c>
      <c r="D31" s="339">
        <v>850275.48</v>
      </c>
      <c r="E31" s="340">
        <v>114943</v>
      </c>
      <c r="F31" s="340">
        <v>8.16</v>
      </c>
      <c r="G31" s="339">
        <v>25.6</v>
      </c>
      <c r="H31" s="340">
        <v>6.62</v>
      </c>
      <c r="I31" s="340">
        <v>9.06</v>
      </c>
      <c r="J31" s="340">
        <v>10.77</v>
      </c>
      <c r="K31" s="340">
        <v>7.35</v>
      </c>
      <c r="L31" s="340"/>
      <c r="M31" s="340"/>
      <c r="N31" s="340"/>
      <c r="O31" s="340" t="s">
        <v>414</v>
      </c>
      <c r="P31" s="507" t="s">
        <v>506</v>
      </c>
      <c r="Q31" s="340">
        <v>1</v>
      </c>
      <c r="R31" s="340">
        <v>700973.53</v>
      </c>
      <c r="S31" s="340">
        <v>33931</v>
      </c>
      <c r="T31" s="340">
        <v>8.33</v>
      </c>
      <c r="U31" s="339">
        <v>26.75</v>
      </c>
      <c r="V31" s="340">
        <v>6.75</v>
      </c>
      <c r="W31" s="340">
        <v>9.25</v>
      </c>
      <c r="X31" s="340">
        <v>11</v>
      </c>
      <c r="Y31" s="340">
        <v>7.5</v>
      </c>
      <c r="Z31" s="340"/>
      <c r="AA31" s="341">
        <f t="shared" si="0"/>
        <v>1.1499999999999986</v>
      </c>
      <c r="AB31" s="342">
        <f t="shared" ref="AB31" si="14">SUM(AA31/G31)</f>
        <v>4.4921874999999944E-2</v>
      </c>
      <c r="AC31" s="447"/>
    </row>
    <row r="32" spans="1:29" ht="15">
      <c r="A32" s="340" t="s">
        <v>415</v>
      </c>
      <c r="B32" s="507" t="s">
        <v>207</v>
      </c>
      <c r="C32" s="340">
        <v>1</v>
      </c>
      <c r="D32" s="339">
        <v>850275.48</v>
      </c>
      <c r="E32" s="340">
        <v>114943</v>
      </c>
      <c r="F32" s="340">
        <v>8.16</v>
      </c>
      <c r="G32" s="339">
        <v>160</v>
      </c>
      <c r="H32" s="340">
        <v>6.62</v>
      </c>
      <c r="I32" s="340">
        <v>9.06</v>
      </c>
      <c r="J32" s="340">
        <v>10.77</v>
      </c>
      <c r="K32" s="340">
        <v>7.35</v>
      </c>
      <c r="L32" s="340"/>
      <c r="M32" s="340"/>
      <c r="N32" s="340"/>
      <c r="O32" s="340" t="s">
        <v>415</v>
      </c>
      <c r="P32" s="507" t="s">
        <v>207</v>
      </c>
      <c r="Q32" s="340">
        <v>1</v>
      </c>
      <c r="R32" s="340">
        <v>700973.53</v>
      </c>
      <c r="S32" s="340">
        <v>33931</v>
      </c>
      <c r="T32" s="340">
        <v>8.33</v>
      </c>
      <c r="U32" s="339">
        <v>154.15</v>
      </c>
      <c r="V32" s="340">
        <v>6.75</v>
      </c>
      <c r="W32" s="340">
        <v>9.25</v>
      </c>
      <c r="X32" s="340">
        <v>11</v>
      </c>
      <c r="Y32" s="340">
        <v>7.5</v>
      </c>
      <c r="Z32" s="340"/>
      <c r="AA32" s="341">
        <f t="shared" si="0"/>
        <v>-5.8499999999999943</v>
      </c>
      <c r="AB32" s="342">
        <f t="shared" ref="AB32" si="15">SUM(AA32/G32)</f>
        <v>-3.6562499999999963E-2</v>
      </c>
      <c r="AC32" s="447"/>
    </row>
    <row r="33" spans="1:29" ht="15">
      <c r="A33" s="340" t="s">
        <v>415</v>
      </c>
      <c r="B33" s="507" t="s">
        <v>511</v>
      </c>
      <c r="C33" s="340">
        <v>1</v>
      </c>
      <c r="D33" s="339">
        <v>850275.48</v>
      </c>
      <c r="E33" s="340">
        <v>114943</v>
      </c>
      <c r="F33" s="340">
        <v>8.16</v>
      </c>
      <c r="G33" s="339">
        <v>65.12</v>
      </c>
      <c r="H33" s="340">
        <v>6.62</v>
      </c>
      <c r="I33" s="340">
        <v>9.06</v>
      </c>
      <c r="J33" s="340">
        <v>10.77</v>
      </c>
      <c r="K33" s="340">
        <v>7.35</v>
      </c>
      <c r="L33" s="340"/>
      <c r="M33" s="340"/>
      <c r="N33" s="340"/>
      <c r="O33" s="340" t="s">
        <v>415</v>
      </c>
      <c r="P33" s="507" t="s">
        <v>511</v>
      </c>
      <c r="Q33" s="340">
        <v>1</v>
      </c>
      <c r="R33" s="340">
        <v>700973.53</v>
      </c>
      <c r="S33" s="340">
        <v>33931</v>
      </c>
      <c r="T33" s="340">
        <v>8.33</v>
      </c>
      <c r="U33" s="339">
        <v>68.37</v>
      </c>
      <c r="V33" s="340">
        <v>6.75</v>
      </c>
      <c r="W33" s="340">
        <v>9.25</v>
      </c>
      <c r="X33" s="340">
        <v>11</v>
      </c>
      <c r="Y33" s="340">
        <v>7.5</v>
      </c>
      <c r="Z33" s="340"/>
      <c r="AA33" s="341">
        <f t="shared" si="0"/>
        <v>3.25</v>
      </c>
      <c r="AB33" s="342">
        <f t="shared" ref="AB33" si="16">SUM(AA33/G33)</f>
        <v>4.9907862407862408E-2</v>
      </c>
      <c r="AC33" s="447"/>
    </row>
    <row r="34" spans="1:29" ht="15">
      <c r="A34" s="340" t="s">
        <v>415</v>
      </c>
      <c r="B34" s="507" t="s">
        <v>512</v>
      </c>
      <c r="C34" s="340">
        <v>1</v>
      </c>
      <c r="D34" s="339">
        <v>850275.48</v>
      </c>
      <c r="E34" s="340">
        <v>114943</v>
      </c>
      <c r="F34" s="340">
        <v>8.16</v>
      </c>
      <c r="G34" s="339">
        <v>1.08</v>
      </c>
      <c r="H34" s="340">
        <v>6.62</v>
      </c>
      <c r="I34" s="340">
        <v>9.06</v>
      </c>
      <c r="J34" s="340">
        <v>10.77</v>
      </c>
      <c r="K34" s="340">
        <v>7.35</v>
      </c>
      <c r="L34" s="340"/>
      <c r="M34" s="340"/>
      <c r="N34" s="340"/>
      <c r="O34" s="340" t="s">
        <v>415</v>
      </c>
      <c r="P34" s="507" t="s">
        <v>512</v>
      </c>
      <c r="Q34" s="340">
        <v>1</v>
      </c>
      <c r="R34" s="340">
        <v>700973.53</v>
      </c>
      <c r="S34" s="340">
        <v>33931</v>
      </c>
      <c r="T34" s="340">
        <v>8.33</v>
      </c>
      <c r="U34" s="339">
        <v>1.1299999999999999</v>
      </c>
      <c r="V34" s="340">
        <v>6.75</v>
      </c>
      <c r="W34" s="340">
        <v>9.25</v>
      </c>
      <c r="X34" s="340">
        <v>11</v>
      </c>
      <c r="Y34" s="340">
        <v>7.5</v>
      </c>
      <c r="Z34" s="340"/>
      <c r="AA34" s="341">
        <f t="shared" si="0"/>
        <v>4.9999999999999822E-2</v>
      </c>
      <c r="AB34" s="342">
        <f t="shared" ref="AB34" si="17">SUM(AA34/G34)</f>
        <v>4.6296296296296127E-2</v>
      </c>
      <c r="AC34" s="447"/>
    </row>
    <row r="35" spans="1:29" ht="15">
      <c r="A35" s="340" t="s">
        <v>415</v>
      </c>
      <c r="B35" s="507" t="s">
        <v>417</v>
      </c>
      <c r="C35" s="340">
        <v>1</v>
      </c>
      <c r="D35" s="339">
        <v>850275.48</v>
      </c>
      <c r="E35" s="340">
        <v>114943</v>
      </c>
      <c r="F35" s="340">
        <v>8.16</v>
      </c>
      <c r="G35" s="339">
        <v>71.25</v>
      </c>
      <c r="H35" s="340">
        <v>6.62</v>
      </c>
      <c r="I35" s="340">
        <v>9.06</v>
      </c>
      <c r="J35" s="340">
        <v>10.77</v>
      </c>
      <c r="K35" s="340">
        <v>7.35</v>
      </c>
      <c r="L35" s="340"/>
      <c r="M35" s="340"/>
      <c r="N35" s="340"/>
      <c r="O35" s="340" t="s">
        <v>415</v>
      </c>
      <c r="P35" s="507" t="s">
        <v>417</v>
      </c>
      <c r="Q35" s="340">
        <v>1</v>
      </c>
      <c r="R35" s="340">
        <v>700973.53</v>
      </c>
      <c r="S35" s="340">
        <v>33931</v>
      </c>
      <c r="T35" s="340">
        <v>8.33</v>
      </c>
      <c r="U35" s="339">
        <v>73.39</v>
      </c>
      <c r="V35" s="340">
        <v>6.75</v>
      </c>
      <c r="W35" s="340">
        <v>9.25</v>
      </c>
      <c r="X35" s="340">
        <v>11</v>
      </c>
      <c r="Y35" s="340">
        <v>7.5</v>
      </c>
      <c r="Z35" s="340"/>
      <c r="AA35" s="341">
        <f t="shared" si="0"/>
        <v>2.1400000000000006</v>
      </c>
      <c r="AB35" s="342">
        <f t="shared" ref="AB35" si="18">SUM(AA35/G35)</f>
        <v>3.0035087719298255E-2</v>
      </c>
      <c r="AC35" s="447"/>
    </row>
    <row r="36" spans="1:29" ht="15">
      <c r="A36" s="340" t="s">
        <v>415</v>
      </c>
      <c r="B36" s="507" t="s">
        <v>419</v>
      </c>
      <c r="C36" s="340">
        <v>1</v>
      </c>
      <c r="D36" s="339">
        <v>850275.48</v>
      </c>
      <c r="E36" s="340">
        <v>114943</v>
      </c>
      <c r="F36" s="340">
        <v>8.16</v>
      </c>
      <c r="G36" s="339">
        <v>135</v>
      </c>
      <c r="H36" s="340">
        <v>6.62</v>
      </c>
      <c r="I36" s="340">
        <v>9.06</v>
      </c>
      <c r="J36" s="340">
        <v>10.77</v>
      </c>
      <c r="K36" s="340">
        <v>7.35</v>
      </c>
      <c r="L36" s="340"/>
      <c r="M36" s="340"/>
      <c r="N36" s="340"/>
      <c r="O36" s="340" t="s">
        <v>415</v>
      </c>
      <c r="P36" s="507" t="s">
        <v>419</v>
      </c>
      <c r="Q36" s="340">
        <v>1</v>
      </c>
      <c r="R36" s="340">
        <v>700973.53</v>
      </c>
      <c r="S36" s="340">
        <v>33931</v>
      </c>
      <c r="T36" s="340">
        <v>8.33</v>
      </c>
      <c r="U36" s="339">
        <v>139.05000000000001</v>
      </c>
      <c r="V36" s="340">
        <v>6.75</v>
      </c>
      <c r="W36" s="340">
        <v>9.25</v>
      </c>
      <c r="X36" s="340">
        <v>11</v>
      </c>
      <c r="Y36" s="340">
        <v>7.5</v>
      </c>
      <c r="Z36" s="340"/>
      <c r="AA36" s="341">
        <f t="shared" si="0"/>
        <v>4.0500000000000114</v>
      </c>
      <c r="AB36" s="342">
        <f t="shared" ref="AB36" si="19">SUM(AA36/G36)</f>
        <v>3.0000000000000086E-2</v>
      </c>
      <c r="AC36" s="447"/>
    </row>
    <row r="37" spans="1:29" ht="15">
      <c r="A37" s="340" t="s">
        <v>415</v>
      </c>
      <c r="B37" s="507" t="s">
        <v>513</v>
      </c>
      <c r="C37" s="340">
        <v>1</v>
      </c>
      <c r="D37" s="339">
        <v>850275.48</v>
      </c>
      <c r="E37" s="340">
        <v>114943</v>
      </c>
      <c r="F37" s="340">
        <v>8.16</v>
      </c>
      <c r="G37" s="339">
        <v>36.9</v>
      </c>
      <c r="H37" s="340">
        <v>6.62</v>
      </c>
      <c r="I37" s="340">
        <v>9.06</v>
      </c>
      <c r="J37" s="340">
        <v>10.77</v>
      </c>
      <c r="K37" s="340">
        <v>7.35</v>
      </c>
      <c r="L37" s="340"/>
      <c r="M37" s="340"/>
      <c r="N37" s="340"/>
      <c r="O37" s="340" t="s">
        <v>415</v>
      </c>
      <c r="P37" s="507" t="s">
        <v>513</v>
      </c>
      <c r="Q37" s="340">
        <v>1</v>
      </c>
      <c r="R37" s="340">
        <v>700973.53</v>
      </c>
      <c r="S37" s="340">
        <v>33931</v>
      </c>
      <c r="T37" s="340">
        <v>8.33</v>
      </c>
      <c r="U37" s="339">
        <v>38.74</v>
      </c>
      <c r="V37" s="340">
        <v>6.75</v>
      </c>
      <c r="W37" s="340">
        <v>9.25</v>
      </c>
      <c r="X37" s="340">
        <v>11</v>
      </c>
      <c r="Y37" s="340">
        <v>7.5</v>
      </c>
      <c r="Z37" s="340"/>
      <c r="AA37" s="341">
        <f t="shared" si="0"/>
        <v>1.8400000000000034</v>
      </c>
      <c r="AB37" s="342">
        <f t="shared" ref="AB37" si="20">SUM(AA37/G37)</f>
        <v>4.9864498644986543E-2</v>
      </c>
      <c r="AC37" s="447"/>
    </row>
    <row r="38" spans="1:29" ht="15">
      <c r="A38" s="340" t="s">
        <v>415</v>
      </c>
      <c r="B38" s="507" t="s">
        <v>514</v>
      </c>
      <c r="C38" s="340">
        <v>1</v>
      </c>
      <c r="D38" s="339">
        <v>850275.48</v>
      </c>
      <c r="E38" s="340">
        <v>114943</v>
      </c>
      <c r="F38" s="340">
        <v>8.16</v>
      </c>
      <c r="G38" s="339">
        <v>26.86</v>
      </c>
      <c r="H38" s="340">
        <v>6.62</v>
      </c>
      <c r="I38" s="340">
        <v>9.06</v>
      </c>
      <c r="J38" s="340">
        <v>10.77</v>
      </c>
      <c r="K38" s="340">
        <v>7.35</v>
      </c>
      <c r="L38" s="340"/>
      <c r="M38" s="340"/>
      <c r="N38" s="340"/>
      <c r="O38" s="340" t="s">
        <v>415</v>
      </c>
      <c r="P38" s="507" t="s">
        <v>514</v>
      </c>
      <c r="Q38" s="340">
        <v>1</v>
      </c>
      <c r="R38" s="339">
        <v>850275.48</v>
      </c>
      <c r="S38" s="340">
        <v>114943</v>
      </c>
      <c r="T38" s="340">
        <v>8.16</v>
      </c>
      <c r="U38" s="339">
        <v>28.2</v>
      </c>
      <c r="V38" s="340">
        <v>6.75</v>
      </c>
      <c r="W38" s="340">
        <v>9.25</v>
      </c>
      <c r="X38" s="340">
        <v>11</v>
      </c>
      <c r="Y38" s="340">
        <v>7.5</v>
      </c>
      <c r="Z38" s="340"/>
      <c r="AA38" s="341">
        <f t="shared" si="0"/>
        <v>1.3399999999999999</v>
      </c>
      <c r="AB38" s="342">
        <f t="shared" ref="AB38" si="21">SUM(AA38/G38)</f>
        <v>4.9888309754281455E-2</v>
      </c>
      <c r="AC38" s="447"/>
    </row>
    <row r="39" spans="1:29" ht="15">
      <c r="A39" s="340" t="s">
        <v>415</v>
      </c>
      <c r="B39" s="507" t="s">
        <v>515</v>
      </c>
      <c r="C39" s="340">
        <v>1</v>
      </c>
      <c r="D39" s="339">
        <v>850275.48</v>
      </c>
      <c r="E39" s="340">
        <v>114943</v>
      </c>
      <c r="F39" s="340">
        <v>8.16</v>
      </c>
      <c r="G39" s="339">
        <v>95.5</v>
      </c>
      <c r="H39" s="340">
        <v>6.62</v>
      </c>
      <c r="I39" s="340">
        <v>9.06</v>
      </c>
      <c r="J39" s="340">
        <v>10.77</v>
      </c>
      <c r="K39" s="340">
        <v>7.35</v>
      </c>
      <c r="L39" s="340"/>
      <c r="M39" s="340"/>
      <c r="N39" s="340"/>
      <c r="O39" s="340" t="s">
        <v>415</v>
      </c>
      <c r="P39" s="507" t="s">
        <v>515</v>
      </c>
      <c r="Q39" s="340">
        <v>1</v>
      </c>
      <c r="R39" s="339">
        <v>850275.48</v>
      </c>
      <c r="S39" s="340">
        <v>114943</v>
      </c>
      <c r="T39" s="340">
        <v>8.16</v>
      </c>
      <c r="U39" s="339">
        <v>100</v>
      </c>
      <c r="V39" s="340">
        <v>6.75</v>
      </c>
      <c r="W39" s="340">
        <v>9.25</v>
      </c>
      <c r="X39" s="340">
        <v>11</v>
      </c>
      <c r="Y39" s="340">
        <v>7.5</v>
      </c>
      <c r="Z39" s="340"/>
      <c r="AA39" s="341">
        <f t="shared" si="0"/>
        <v>4.5</v>
      </c>
      <c r="AB39" s="342">
        <f t="shared" ref="AB39" si="22">SUM(AA39/G39)</f>
        <v>4.712041884816754E-2</v>
      </c>
      <c r="AC39" s="447"/>
    </row>
    <row r="40" spans="1:29" ht="15">
      <c r="A40" s="340" t="s">
        <v>415</v>
      </c>
      <c r="B40" s="507" t="s">
        <v>516</v>
      </c>
      <c r="C40" s="340">
        <v>1</v>
      </c>
      <c r="D40" s="339">
        <v>850275.48</v>
      </c>
      <c r="E40" s="340">
        <v>114943</v>
      </c>
      <c r="F40" s="340">
        <v>8.16</v>
      </c>
      <c r="G40" s="339">
        <v>106.66</v>
      </c>
      <c r="H40" s="340">
        <v>6.62</v>
      </c>
      <c r="I40" s="340">
        <v>9.06</v>
      </c>
      <c r="J40" s="340">
        <v>10.77</v>
      </c>
      <c r="K40" s="340">
        <v>7.35</v>
      </c>
      <c r="L40" s="340"/>
      <c r="M40" s="340"/>
      <c r="N40" s="340"/>
      <c r="O40" s="340" t="s">
        <v>415</v>
      </c>
      <c r="P40" s="507" t="s">
        <v>516</v>
      </c>
      <c r="Q40" s="340">
        <v>1</v>
      </c>
      <c r="R40" s="339">
        <v>850275.48</v>
      </c>
      <c r="S40" s="340">
        <v>114943</v>
      </c>
      <c r="T40" s="340">
        <v>8.16</v>
      </c>
      <c r="U40" s="339">
        <v>111</v>
      </c>
      <c r="V40" s="340">
        <v>6.75</v>
      </c>
      <c r="W40" s="340">
        <v>9.25</v>
      </c>
      <c r="X40" s="340">
        <v>11</v>
      </c>
      <c r="Y40" s="340">
        <v>7.5</v>
      </c>
      <c r="Z40" s="340"/>
      <c r="AA40" s="341">
        <f t="shared" si="0"/>
        <v>4.3400000000000034</v>
      </c>
      <c r="AB40" s="342">
        <f t="shared" ref="AB40" si="23">SUM(AA40/G40)</f>
        <v>4.0690043127695516E-2</v>
      </c>
      <c r="AC40" s="447"/>
    </row>
    <row r="41" spans="1:29" ht="15">
      <c r="A41" s="340" t="s">
        <v>415</v>
      </c>
      <c r="B41" s="507" t="s">
        <v>517</v>
      </c>
      <c r="C41" s="340">
        <v>1</v>
      </c>
      <c r="D41" s="339">
        <v>850275.48</v>
      </c>
      <c r="E41" s="340">
        <v>114943</v>
      </c>
      <c r="F41" s="340">
        <v>8.16</v>
      </c>
      <c r="G41" s="339">
        <v>107.67</v>
      </c>
      <c r="H41" s="340">
        <v>6.62</v>
      </c>
      <c r="I41" s="340">
        <v>9.06</v>
      </c>
      <c r="J41" s="340">
        <v>10.77</v>
      </c>
      <c r="K41" s="340">
        <v>7.35</v>
      </c>
      <c r="L41" s="340"/>
      <c r="M41" s="340"/>
      <c r="N41" s="340"/>
      <c r="O41" s="340" t="s">
        <v>415</v>
      </c>
      <c r="P41" s="507" t="s">
        <v>517</v>
      </c>
      <c r="Q41" s="340">
        <v>1</v>
      </c>
      <c r="R41" s="339">
        <v>850275.48</v>
      </c>
      <c r="S41" s="340">
        <v>114943</v>
      </c>
      <c r="T41" s="340">
        <v>8.16</v>
      </c>
      <c r="U41" s="339">
        <v>113</v>
      </c>
      <c r="V41" s="340">
        <v>6.75</v>
      </c>
      <c r="W41" s="340">
        <v>9.25</v>
      </c>
      <c r="X41" s="340">
        <v>11</v>
      </c>
      <c r="Y41" s="340">
        <v>7.5</v>
      </c>
      <c r="Z41" s="340"/>
      <c r="AA41" s="341">
        <f t="shared" si="0"/>
        <v>5.3299999999999983</v>
      </c>
      <c r="AB41" s="342">
        <f t="shared" ref="AB41" si="24">SUM(AA41/G41)</f>
        <v>4.9503111358781444E-2</v>
      </c>
      <c r="AC41" s="447"/>
    </row>
    <row r="42" spans="1:29" ht="15">
      <c r="A42" s="340" t="s">
        <v>415</v>
      </c>
      <c r="B42" s="507" t="s">
        <v>503</v>
      </c>
      <c r="C42" s="340">
        <v>1</v>
      </c>
      <c r="D42" s="339">
        <v>850275.48</v>
      </c>
      <c r="E42" s="340">
        <v>114943</v>
      </c>
      <c r="F42" s="340">
        <v>8.16</v>
      </c>
      <c r="G42" s="339">
        <v>85.51</v>
      </c>
      <c r="H42" s="340">
        <v>6.62</v>
      </c>
      <c r="I42" s="340">
        <v>9.06</v>
      </c>
      <c r="J42" s="340">
        <v>10.77</v>
      </c>
      <c r="K42" s="340">
        <v>7.35</v>
      </c>
      <c r="L42" s="340"/>
      <c r="M42" s="340"/>
      <c r="N42" s="340"/>
      <c r="O42" s="340" t="s">
        <v>415</v>
      </c>
      <c r="P42" s="507" t="s">
        <v>503</v>
      </c>
      <c r="Q42" s="340">
        <v>1</v>
      </c>
      <c r="R42" s="339">
        <v>850275.48</v>
      </c>
      <c r="S42" s="340">
        <v>114943</v>
      </c>
      <c r="T42" s="340">
        <v>8.16</v>
      </c>
      <c r="U42" s="339">
        <v>88.9</v>
      </c>
      <c r="V42" s="340">
        <v>6.75</v>
      </c>
      <c r="W42" s="340">
        <v>9.25</v>
      </c>
      <c r="X42" s="340">
        <v>11</v>
      </c>
      <c r="Y42" s="340">
        <v>7.5</v>
      </c>
      <c r="Z42" s="340"/>
      <c r="AA42" s="341">
        <f t="shared" si="0"/>
        <v>3.3900000000000006</v>
      </c>
      <c r="AB42" s="342">
        <f t="shared" ref="AB42" si="25">SUM(AA42/G42)</f>
        <v>3.9644486025026314E-2</v>
      </c>
      <c r="AC42" s="447"/>
    </row>
    <row r="43" spans="1:29" ht="15">
      <c r="A43" s="340" t="s">
        <v>415</v>
      </c>
      <c r="B43" s="507" t="s">
        <v>518</v>
      </c>
      <c r="C43" s="340">
        <v>1</v>
      </c>
      <c r="D43" s="339">
        <v>850275.48</v>
      </c>
      <c r="E43" s="340">
        <v>114943</v>
      </c>
      <c r="F43" s="340">
        <v>8.16</v>
      </c>
      <c r="G43" s="339" t="s">
        <v>519</v>
      </c>
      <c r="H43" s="340">
        <v>6.62</v>
      </c>
      <c r="I43" s="340">
        <v>9.06</v>
      </c>
      <c r="J43" s="340">
        <v>10.77</v>
      </c>
      <c r="K43" s="340">
        <v>7.35</v>
      </c>
      <c r="L43" s="340"/>
      <c r="M43" s="340"/>
      <c r="N43" s="340"/>
      <c r="O43" s="340" t="s">
        <v>415</v>
      </c>
      <c r="P43" s="507" t="s">
        <v>518</v>
      </c>
      <c r="Q43" s="340">
        <v>1</v>
      </c>
      <c r="R43" s="339">
        <v>850275.48</v>
      </c>
      <c r="S43" s="340">
        <v>114943</v>
      </c>
      <c r="T43" s="340">
        <v>8.16</v>
      </c>
      <c r="U43" s="339" t="s">
        <v>519</v>
      </c>
      <c r="V43" s="339" t="s">
        <v>519</v>
      </c>
      <c r="W43" s="339" t="s">
        <v>519</v>
      </c>
      <c r="X43" s="339" t="s">
        <v>519</v>
      </c>
      <c r="Y43" s="339" t="s">
        <v>519</v>
      </c>
      <c r="Z43" s="339" t="s">
        <v>519</v>
      </c>
      <c r="AA43" s="339" t="s">
        <v>519</v>
      </c>
      <c r="AB43" s="339" t="s">
        <v>519</v>
      </c>
      <c r="AC43" s="447"/>
    </row>
    <row r="44" spans="1:29" ht="15">
      <c r="A44" s="340" t="s">
        <v>415</v>
      </c>
      <c r="B44" s="507" t="s">
        <v>520</v>
      </c>
      <c r="C44" s="340">
        <v>1</v>
      </c>
      <c r="D44" s="339">
        <v>850275.48</v>
      </c>
      <c r="E44" s="340">
        <v>114943</v>
      </c>
      <c r="F44" s="340">
        <v>8.16</v>
      </c>
      <c r="G44" s="339">
        <v>26.86</v>
      </c>
      <c r="H44" s="340">
        <v>6.62</v>
      </c>
      <c r="I44" s="340">
        <v>9.06</v>
      </c>
      <c r="J44" s="340">
        <v>10.77</v>
      </c>
      <c r="K44" s="340">
        <v>7.35</v>
      </c>
      <c r="L44" s="340"/>
      <c r="M44" s="340"/>
      <c r="N44" s="340"/>
      <c r="O44" s="340" t="s">
        <v>415</v>
      </c>
      <c r="P44" s="507" t="s">
        <v>520</v>
      </c>
      <c r="Q44" s="340">
        <v>1</v>
      </c>
      <c r="R44" s="339">
        <v>850275.48</v>
      </c>
      <c r="S44" s="340">
        <v>114943</v>
      </c>
      <c r="T44" s="340">
        <v>8.16</v>
      </c>
      <c r="U44" s="339">
        <v>28.2</v>
      </c>
      <c r="V44" s="340">
        <v>6.75</v>
      </c>
      <c r="W44" s="340">
        <v>9.25</v>
      </c>
      <c r="X44" s="340">
        <v>11</v>
      </c>
      <c r="Y44" s="340">
        <v>7.5</v>
      </c>
      <c r="Z44" s="340"/>
      <c r="AA44" s="341">
        <f>SUM(U44-G44)</f>
        <v>1.3399999999999999</v>
      </c>
      <c r="AB44" s="342">
        <f t="shared" ref="AB44" si="26">SUM(AA44/G44)</f>
        <v>4.9888309754281455E-2</v>
      </c>
      <c r="AC44" s="447"/>
    </row>
    <row r="45" spans="1:29" ht="15">
      <c r="A45" s="340" t="s">
        <v>415</v>
      </c>
      <c r="B45" s="507" t="s">
        <v>510</v>
      </c>
      <c r="C45" s="340">
        <v>1</v>
      </c>
      <c r="D45" s="339">
        <v>850275.48</v>
      </c>
      <c r="E45" s="340">
        <v>114943</v>
      </c>
      <c r="F45" s="340">
        <v>8.16</v>
      </c>
      <c r="G45" s="339">
        <v>25.6</v>
      </c>
      <c r="H45" s="340">
        <v>6.62</v>
      </c>
      <c r="I45" s="340">
        <v>9.06</v>
      </c>
      <c r="J45" s="340">
        <v>10.77</v>
      </c>
      <c r="K45" s="340">
        <v>7.35</v>
      </c>
      <c r="L45" s="340"/>
      <c r="M45" s="340"/>
      <c r="N45" s="340"/>
      <c r="O45" s="340" t="s">
        <v>415</v>
      </c>
      <c r="P45" s="507" t="s">
        <v>510</v>
      </c>
      <c r="Q45" s="340">
        <v>1</v>
      </c>
      <c r="R45" s="339">
        <v>850275.48</v>
      </c>
      <c r="S45" s="340">
        <v>114943</v>
      </c>
      <c r="T45" s="340">
        <v>8.16</v>
      </c>
      <c r="U45" s="339">
        <v>26.75</v>
      </c>
      <c r="V45" s="340">
        <v>6.75</v>
      </c>
      <c r="W45" s="340">
        <v>9.25</v>
      </c>
      <c r="X45" s="340">
        <v>11</v>
      </c>
      <c r="Y45" s="340">
        <v>7.5</v>
      </c>
      <c r="Z45" s="340"/>
      <c r="AA45" s="341">
        <f>SUM(U45-G45)</f>
        <v>1.1499999999999986</v>
      </c>
      <c r="AB45" s="342">
        <f t="shared" ref="AB45" si="27">SUM(AA45/G45)</f>
        <v>4.4921874999999944E-2</v>
      </c>
      <c r="AC45" s="447"/>
    </row>
    <row r="46" spans="1:29" ht="15">
      <c r="A46" s="340" t="s">
        <v>415</v>
      </c>
      <c r="B46" s="507" t="s">
        <v>521</v>
      </c>
      <c r="C46" s="340">
        <v>1</v>
      </c>
      <c r="D46" s="339">
        <v>850275.48</v>
      </c>
      <c r="E46" s="340">
        <v>114943</v>
      </c>
      <c r="F46" s="340">
        <v>8.16</v>
      </c>
      <c r="G46" s="339" t="s">
        <v>519</v>
      </c>
      <c r="H46" s="340">
        <v>6.62</v>
      </c>
      <c r="I46" s="340">
        <v>9.06</v>
      </c>
      <c r="J46" s="340">
        <v>10.77</v>
      </c>
      <c r="K46" s="340">
        <v>7.35</v>
      </c>
      <c r="L46" s="340"/>
      <c r="M46" s="340"/>
      <c r="N46" s="340"/>
      <c r="O46" s="340" t="s">
        <v>415</v>
      </c>
      <c r="P46" s="507" t="s">
        <v>521</v>
      </c>
      <c r="Q46" s="340">
        <v>1</v>
      </c>
      <c r="R46" s="339">
        <v>850275.48</v>
      </c>
      <c r="S46" s="340">
        <v>114943</v>
      </c>
      <c r="T46" s="340">
        <v>8.16</v>
      </c>
      <c r="U46" s="339" t="s">
        <v>519</v>
      </c>
      <c r="V46" s="340">
        <v>6.75</v>
      </c>
      <c r="W46" s="340">
        <v>9.25</v>
      </c>
      <c r="X46" s="340">
        <v>11</v>
      </c>
      <c r="Y46" s="340">
        <v>7.5</v>
      </c>
      <c r="Z46" s="340"/>
      <c r="AA46" s="339" t="s">
        <v>519</v>
      </c>
      <c r="AB46" s="339" t="s">
        <v>519</v>
      </c>
      <c r="AC46" s="447"/>
    </row>
    <row r="47" spans="1:29" ht="15">
      <c r="A47" s="340" t="s">
        <v>415</v>
      </c>
      <c r="B47" s="507" t="s">
        <v>522</v>
      </c>
      <c r="C47" s="340">
        <v>1</v>
      </c>
      <c r="D47" s="339">
        <v>850275.48</v>
      </c>
      <c r="E47" s="340">
        <v>114943</v>
      </c>
      <c r="F47" s="340">
        <v>8.16</v>
      </c>
      <c r="G47" s="339" t="s">
        <v>519</v>
      </c>
      <c r="H47" s="340">
        <v>6.62</v>
      </c>
      <c r="I47" s="340">
        <v>9.06</v>
      </c>
      <c r="J47" s="340">
        <v>10.77</v>
      </c>
      <c r="K47" s="340">
        <v>7.35</v>
      </c>
      <c r="L47" s="340"/>
      <c r="M47" s="340"/>
      <c r="N47" s="340"/>
      <c r="O47" s="340" t="s">
        <v>415</v>
      </c>
      <c r="P47" s="507" t="s">
        <v>522</v>
      </c>
      <c r="Q47" s="340">
        <v>1</v>
      </c>
      <c r="R47" s="339">
        <v>850275.48</v>
      </c>
      <c r="S47" s="340">
        <v>114943</v>
      </c>
      <c r="T47" s="340">
        <v>8.16</v>
      </c>
      <c r="U47" s="339" t="s">
        <v>519</v>
      </c>
      <c r="V47" s="340">
        <v>6.75</v>
      </c>
      <c r="W47" s="340">
        <v>9.25</v>
      </c>
      <c r="X47" s="340">
        <v>11</v>
      </c>
      <c r="Y47" s="340">
        <v>7.5</v>
      </c>
      <c r="Z47" s="340"/>
      <c r="AA47" s="339" t="s">
        <v>519</v>
      </c>
      <c r="AB47" s="339" t="s">
        <v>519</v>
      </c>
      <c r="AC47" s="447"/>
    </row>
    <row r="48" spans="1:29" ht="15">
      <c r="A48" s="340" t="s">
        <v>415</v>
      </c>
      <c r="B48" s="507" t="s">
        <v>523</v>
      </c>
      <c r="C48" s="340">
        <v>1</v>
      </c>
      <c r="D48" s="339">
        <v>850275.48</v>
      </c>
      <c r="E48" s="340">
        <v>114943</v>
      </c>
      <c r="F48" s="340">
        <v>8.16</v>
      </c>
      <c r="G48" s="339" t="s">
        <v>519</v>
      </c>
      <c r="H48" s="340">
        <v>6.62</v>
      </c>
      <c r="I48" s="340">
        <v>9.06</v>
      </c>
      <c r="J48" s="340">
        <v>10.77</v>
      </c>
      <c r="K48" s="340">
        <v>7.35</v>
      </c>
      <c r="L48" s="340"/>
      <c r="M48" s="340"/>
      <c r="N48" s="340"/>
      <c r="O48" s="340" t="s">
        <v>415</v>
      </c>
      <c r="P48" s="507" t="s">
        <v>523</v>
      </c>
      <c r="Q48" s="340">
        <v>1</v>
      </c>
      <c r="R48" s="339">
        <v>850275.48</v>
      </c>
      <c r="S48" s="340">
        <v>114943</v>
      </c>
      <c r="T48" s="340">
        <v>8.16</v>
      </c>
      <c r="U48" s="339" t="s">
        <v>519</v>
      </c>
      <c r="V48" s="340">
        <v>6.75</v>
      </c>
      <c r="W48" s="340">
        <v>9.25</v>
      </c>
      <c r="X48" s="340">
        <v>11</v>
      </c>
      <c r="Y48" s="340">
        <v>7.5</v>
      </c>
      <c r="Z48" s="340"/>
      <c r="AA48" s="339" t="s">
        <v>519</v>
      </c>
      <c r="AB48" s="339" t="s">
        <v>519</v>
      </c>
      <c r="AC48" s="447"/>
    </row>
    <row r="49" spans="1:29" ht="15">
      <c r="A49" s="340" t="s">
        <v>415</v>
      </c>
      <c r="B49" s="507" t="s">
        <v>524</v>
      </c>
      <c r="C49" s="340">
        <v>1</v>
      </c>
      <c r="D49" s="339">
        <v>850275.48</v>
      </c>
      <c r="E49" s="340">
        <v>114943</v>
      </c>
      <c r="F49" s="340">
        <v>8.16</v>
      </c>
      <c r="G49" s="339" t="s">
        <v>519</v>
      </c>
      <c r="H49" s="340">
        <v>6.62</v>
      </c>
      <c r="I49" s="340">
        <v>9.06</v>
      </c>
      <c r="J49" s="340">
        <v>10.77</v>
      </c>
      <c r="K49" s="340">
        <v>7.35</v>
      </c>
      <c r="L49" s="340"/>
      <c r="M49" s="340"/>
      <c r="N49" s="340"/>
      <c r="O49" s="340" t="s">
        <v>415</v>
      </c>
      <c r="P49" s="507" t="s">
        <v>524</v>
      </c>
      <c r="Q49" s="340">
        <v>1</v>
      </c>
      <c r="R49" s="339">
        <v>850275.48</v>
      </c>
      <c r="S49" s="340">
        <v>114943</v>
      </c>
      <c r="T49" s="340">
        <v>8.16</v>
      </c>
      <c r="U49" s="339" t="s">
        <v>519</v>
      </c>
      <c r="V49" s="340">
        <v>6.75</v>
      </c>
      <c r="W49" s="340">
        <v>9.25</v>
      </c>
      <c r="X49" s="340">
        <v>11</v>
      </c>
      <c r="Y49" s="340">
        <v>7.5</v>
      </c>
      <c r="Z49" s="340"/>
      <c r="AA49" s="339" t="s">
        <v>519</v>
      </c>
      <c r="AB49" s="339" t="s">
        <v>519</v>
      </c>
      <c r="AC49" s="447"/>
    </row>
    <row r="50" spans="1:29" ht="15">
      <c r="A50" s="340" t="s">
        <v>415</v>
      </c>
      <c r="B50" s="507" t="s">
        <v>506</v>
      </c>
      <c r="C50" s="340">
        <v>1</v>
      </c>
      <c r="D50" s="339">
        <v>850275.48</v>
      </c>
      <c r="E50" s="340">
        <v>114943</v>
      </c>
      <c r="F50" s="340">
        <v>8.16</v>
      </c>
      <c r="G50" s="339">
        <v>25.6</v>
      </c>
      <c r="H50" s="340">
        <v>6.62</v>
      </c>
      <c r="I50" s="340">
        <v>9.06</v>
      </c>
      <c r="J50" s="340">
        <v>10.77</v>
      </c>
      <c r="K50" s="340">
        <v>7.35</v>
      </c>
      <c r="L50" s="340"/>
      <c r="M50" s="340"/>
      <c r="N50" s="340"/>
      <c r="O50" s="340" t="s">
        <v>415</v>
      </c>
      <c r="P50" s="507" t="s">
        <v>506</v>
      </c>
      <c r="Q50" s="340">
        <v>1</v>
      </c>
      <c r="R50" s="339">
        <v>850275.48</v>
      </c>
      <c r="S50" s="340">
        <v>114943</v>
      </c>
      <c r="T50" s="340">
        <v>8.16</v>
      </c>
      <c r="U50" s="339">
        <v>26.75</v>
      </c>
      <c r="V50" s="340">
        <v>6.75</v>
      </c>
      <c r="W50" s="340">
        <v>9.25</v>
      </c>
      <c r="X50" s="340">
        <v>11</v>
      </c>
      <c r="Y50" s="340">
        <v>7.5</v>
      </c>
      <c r="Z50" s="340"/>
      <c r="AA50" s="341">
        <f t="shared" ref="AA50:AA62" si="28">SUM(U50-G50)</f>
        <v>1.1499999999999986</v>
      </c>
      <c r="AB50" s="342">
        <f t="shared" ref="AB50" si="29">SUM(AA50/G50)</f>
        <v>4.4921874999999944E-2</v>
      </c>
      <c r="AC50" s="447"/>
    </row>
    <row r="51" spans="1:29" ht="15">
      <c r="A51" s="340" t="s">
        <v>415</v>
      </c>
      <c r="B51" s="507" t="s">
        <v>525</v>
      </c>
      <c r="C51" s="340">
        <v>1</v>
      </c>
      <c r="D51" s="339">
        <v>850275.48</v>
      </c>
      <c r="E51" s="340">
        <v>114943</v>
      </c>
      <c r="F51" s="340">
        <v>8.16</v>
      </c>
      <c r="G51" s="339">
        <v>31.11</v>
      </c>
      <c r="H51" s="340">
        <v>6.62</v>
      </c>
      <c r="I51" s="340">
        <v>9.06</v>
      </c>
      <c r="J51" s="340">
        <v>10.77</v>
      </c>
      <c r="K51" s="340">
        <v>7.35</v>
      </c>
      <c r="L51" s="340"/>
      <c r="M51" s="340"/>
      <c r="N51" s="340"/>
      <c r="O51" s="340" t="s">
        <v>415</v>
      </c>
      <c r="P51" s="507" t="s">
        <v>525</v>
      </c>
      <c r="Q51" s="340">
        <v>1</v>
      </c>
      <c r="R51" s="339">
        <v>850275.48</v>
      </c>
      <c r="S51" s="340">
        <v>114943</v>
      </c>
      <c r="T51" s="340">
        <v>8.16</v>
      </c>
      <c r="U51" s="339">
        <v>32.659999999999997</v>
      </c>
      <c r="V51" s="340">
        <v>6.75</v>
      </c>
      <c r="W51" s="340">
        <v>9.25</v>
      </c>
      <c r="X51" s="340">
        <v>11</v>
      </c>
      <c r="Y51" s="340">
        <v>7.5</v>
      </c>
      <c r="Z51" s="340"/>
      <c r="AA51" s="341">
        <f t="shared" si="28"/>
        <v>1.5499999999999972</v>
      </c>
      <c r="AB51" s="342">
        <f t="shared" ref="AB51" si="30">SUM(AA51/G51)</f>
        <v>4.9823207971713183E-2</v>
      </c>
      <c r="AC51" s="447"/>
    </row>
    <row r="52" spans="1:29" ht="15">
      <c r="A52" s="340" t="s">
        <v>415</v>
      </c>
      <c r="B52" s="507" t="s">
        <v>526</v>
      </c>
      <c r="C52" s="340">
        <v>1</v>
      </c>
      <c r="D52" s="339">
        <v>850275.48</v>
      </c>
      <c r="E52" s="340">
        <v>114943</v>
      </c>
      <c r="F52" s="340">
        <v>8.16</v>
      </c>
      <c r="G52" s="339">
        <v>31.11</v>
      </c>
      <c r="H52" s="340">
        <v>6.62</v>
      </c>
      <c r="I52" s="340">
        <v>9.06</v>
      </c>
      <c r="J52" s="340">
        <v>10.77</v>
      </c>
      <c r="K52" s="340">
        <v>7.35</v>
      </c>
      <c r="L52" s="340"/>
      <c r="M52" s="340"/>
      <c r="N52" s="340"/>
      <c r="O52" s="340" t="s">
        <v>415</v>
      </c>
      <c r="P52" s="507" t="s">
        <v>526</v>
      </c>
      <c r="Q52" s="340">
        <v>1</v>
      </c>
      <c r="R52" s="339">
        <v>850275.48</v>
      </c>
      <c r="S52" s="340">
        <v>114943</v>
      </c>
      <c r="T52" s="340">
        <v>8.16</v>
      </c>
      <c r="U52" s="339">
        <v>32.659999999999997</v>
      </c>
      <c r="V52" s="340">
        <v>6.75</v>
      </c>
      <c r="W52" s="340">
        <v>9.25</v>
      </c>
      <c r="X52" s="340">
        <v>11</v>
      </c>
      <c r="Y52" s="340">
        <v>7.5</v>
      </c>
      <c r="Z52" s="340"/>
      <c r="AA52" s="341">
        <f t="shared" si="28"/>
        <v>1.5499999999999972</v>
      </c>
      <c r="AB52" s="342">
        <f t="shared" ref="AB52" si="31">SUM(AA52/G52)</f>
        <v>4.9823207971713183E-2</v>
      </c>
      <c r="AC52" s="447"/>
    </row>
    <row r="53" spans="1:29" ht="15">
      <c r="A53" s="340" t="s">
        <v>432</v>
      </c>
      <c r="B53" s="507" t="s">
        <v>527</v>
      </c>
      <c r="C53" s="340">
        <v>1</v>
      </c>
      <c r="D53" s="339">
        <v>850275.48</v>
      </c>
      <c r="E53" s="340">
        <v>114943</v>
      </c>
      <c r="F53" s="340">
        <v>8.16</v>
      </c>
      <c r="G53" s="339">
        <v>3611</v>
      </c>
      <c r="H53" s="340">
        <v>6.62</v>
      </c>
      <c r="I53" s="340">
        <v>9.06</v>
      </c>
      <c r="J53" s="340">
        <v>10.77</v>
      </c>
      <c r="K53" s="340">
        <v>7.35</v>
      </c>
      <c r="L53" s="340"/>
      <c r="M53" s="340"/>
      <c r="N53" s="340"/>
      <c r="O53" s="340" t="s">
        <v>432</v>
      </c>
      <c r="P53" s="507" t="s">
        <v>527</v>
      </c>
      <c r="Q53" s="340">
        <v>1</v>
      </c>
      <c r="R53" s="339">
        <v>850275.48</v>
      </c>
      <c r="S53" s="340">
        <v>114943</v>
      </c>
      <c r="T53" s="340">
        <v>8.16</v>
      </c>
      <c r="U53" s="339">
        <v>3791</v>
      </c>
      <c r="V53" s="340">
        <v>6.75</v>
      </c>
      <c r="W53" s="340">
        <v>9.25</v>
      </c>
      <c r="X53" s="340">
        <v>11</v>
      </c>
      <c r="Y53" s="340">
        <v>7.5</v>
      </c>
      <c r="Z53" s="340"/>
      <c r="AA53" s="341">
        <f t="shared" si="28"/>
        <v>180</v>
      </c>
      <c r="AB53" s="342">
        <f t="shared" ref="AB53" si="32">SUM(AA53/G53)</f>
        <v>4.9847687621157571E-2</v>
      </c>
      <c r="AC53" s="447"/>
    </row>
    <row r="54" spans="1:29" ht="15">
      <c r="A54" s="340" t="s">
        <v>432</v>
      </c>
      <c r="B54" s="507" t="s">
        <v>528</v>
      </c>
      <c r="C54" s="340">
        <v>1</v>
      </c>
      <c r="D54" s="339">
        <v>850275.48</v>
      </c>
      <c r="E54" s="340">
        <v>114943</v>
      </c>
      <c r="F54" s="340">
        <v>8.16</v>
      </c>
      <c r="G54" s="339">
        <v>4845</v>
      </c>
      <c r="H54" s="340">
        <v>6.62</v>
      </c>
      <c r="I54" s="340">
        <v>9.06</v>
      </c>
      <c r="J54" s="340">
        <v>10.77</v>
      </c>
      <c r="K54" s="340">
        <v>7.35</v>
      </c>
      <c r="L54" s="340"/>
      <c r="M54" s="340"/>
      <c r="N54" s="340"/>
      <c r="O54" s="340" t="s">
        <v>432</v>
      </c>
      <c r="P54" s="507" t="s">
        <v>528</v>
      </c>
      <c r="Q54" s="340">
        <v>1</v>
      </c>
      <c r="R54" s="339">
        <v>850275.48</v>
      </c>
      <c r="S54" s="340">
        <v>114943</v>
      </c>
      <c r="T54" s="340">
        <v>8.16</v>
      </c>
      <c r="U54" s="339">
        <v>5077.5</v>
      </c>
      <c r="V54" s="340">
        <v>6.75</v>
      </c>
      <c r="W54" s="340">
        <v>9.25</v>
      </c>
      <c r="X54" s="340">
        <v>11</v>
      </c>
      <c r="Y54" s="340">
        <v>7.5</v>
      </c>
      <c r="Z54" s="340"/>
      <c r="AA54" s="341">
        <f t="shared" si="28"/>
        <v>232.5</v>
      </c>
      <c r="AB54" s="342">
        <f t="shared" ref="AB54" si="33">SUM(AA54/G54)</f>
        <v>4.7987616099071206E-2</v>
      </c>
      <c r="AC54" s="447"/>
    </row>
    <row r="55" spans="1:29" ht="15">
      <c r="A55" s="340" t="s">
        <v>432</v>
      </c>
      <c r="B55" s="507" t="s">
        <v>529</v>
      </c>
      <c r="C55" s="340">
        <v>1</v>
      </c>
      <c r="D55" s="339">
        <v>850275.48</v>
      </c>
      <c r="E55" s="340">
        <v>114943</v>
      </c>
      <c r="F55" s="340">
        <v>8.16</v>
      </c>
      <c r="G55" s="339">
        <v>5182.75</v>
      </c>
      <c r="H55" s="340">
        <v>6.62</v>
      </c>
      <c r="I55" s="340">
        <v>9.06</v>
      </c>
      <c r="J55" s="340">
        <v>10.77</v>
      </c>
      <c r="K55" s="340">
        <v>7.35</v>
      </c>
      <c r="L55" s="340"/>
      <c r="M55" s="340"/>
      <c r="N55" s="340"/>
      <c r="O55" s="340" t="s">
        <v>432</v>
      </c>
      <c r="P55" s="507" t="s">
        <v>529</v>
      </c>
      <c r="Q55" s="340">
        <v>1</v>
      </c>
      <c r="R55" s="339">
        <v>850275.48</v>
      </c>
      <c r="S55" s="340">
        <v>114943</v>
      </c>
      <c r="T55" s="340">
        <v>8.16</v>
      </c>
      <c r="U55" s="339">
        <v>5431.5</v>
      </c>
      <c r="V55" s="340">
        <v>6.75</v>
      </c>
      <c r="W55" s="340">
        <v>9.25</v>
      </c>
      <c r="X55" s="340">
        <v>11</v>
      </c>
      <c r="Y55" s="340">
        <v>7.5</v>
      </c>
      <c r="Z55" s="340"/>
      <c r="AA55" s="341">
        <f t="shared" si="28"/>
        <v>248.75</v>
      </c>
      <c r="AB55" s="342">
        <f t="shared" ref="AB55" si="34">SUM(AA55/G55)</f>
        <v>4.7995755149293329E-2</v>
      </c>
      <c r="AC55" s="447"/>
    </row>
    <row r="56" spans="1:29" ht="15">
      <c r="A56" s="340" t="s">
        <v>432</v>
      </c>
      <c r="B56" s="507" t="s">
        <v>530</v>
      </c>
      <c r="C56" s="340">
        <v>1</v>
      </c>
      <c r="D56" s="339">
        <v>850275.48</v>
      </c>
      <c r="E56" s="340">
        <v>114943</v>
      </c>
      <c r="F56" s="340">
        <v>8.16</v>
      </c>
      <c r="G56" s="339">
        <v>4745.75</v>
      </c>
      <c r="H56" s="340">
        <v>6.62</v>
      </c>
      <c r="I56" s="340">
        <v>9.06</v>
      </c>
      <c r="J56" s="340">
        <v>10.77</v>
      </c>
      <c r="K56" s="340">
        <v>7.35</v>
      </c>
      <c r="L56" s="340"/>
      <c r="M56" s="340"/>
      <c r="N56" s="340"/>
      <c r="O56" s="340" t="s">
        <v>432</v>
      </c>
      <c r="P56" s="507" t="s">
        <v>530</v>
      </c>
      <c r="Q56" s="340">
        <v>1</v>
      </c>
      <c r="R56" s="339">
        <v>850275.48</v>
      </c>
      <c r="S56" s="340">
        <v>114943</v>
      </c>
      <c r="T56" s="340">
        <v>8.16</v>
      </c>
      <c r="U56" s="339">
        <v>4982</v>
      </c>
      <c r="V56" s="340">
        <v>6.75</v>
      </c>
      <c r="W56" s="340">
        <v>9.25</v>
      </c>
      <c r="X56" s="340">
        <v>11</v>
      </c>
      <c r="Y56" s="340">
        <v>7.5</v>
      </c>
      <c r="Z56" s="340"/>
      <c r="AA56" s="341">
        <f t="shared" si="28"/>
        <v>236.25</v>
      </c>
      <c r="AB56" s="342">
        <f t="shared" ref="AB56" si="35">SUM(AA56/G56)</f>
        <v>4.9781383342991099E-2</v>
      </c>
      <c r="AC56" s="447"/>
    </row>
    <row r="57" spans="1:29" ht="15">
      <c r="A57" s="340" t="s">
        <v>432</v>
      </c>
      <c r="B57" s="507" t="s">
        <v>531</v>
      </c>
      <c r="C57" s="340">
        <v>1</v>
      </c>
      <c r="D57" s="339">
        <v>850275.48</v>
      </c>
      <c r="E57" s="340">
        <v>114943</v>
      </c>
      <c r="F57" s="340">
        <v>8.16</v>
      </c>
      <c r="G57" s="339">
        <v>3050.83</v>
      </c>
      <c r="H57" s="340">
        <v>6.62</v>
      </c>
      <c r="I57" s="340">
        <v>9.06</v>
      </c>
      <c r="J57" s="340">
        <v>10.77</v>
      </c>
      <c r="K57" s="340">
        <v>7.35</v>
      </c>
      <c r="L57" s="340"/>
      <c r="M57" s="340"/>
      <c r="N57" s="340"/>
      <c r="O57" s="340" t="s">
        <v>432</v>
      </c>
      <c r="P57" s="507" t="s">
        <v>531</v>
      </c>
      <c r="Q57" s="340">
        <v>1</v>
      </c>
      <c r="R57" s="339">
        <v>850275.48</v>
      </c>
      <c r="S57" s="340">
        <v>114943</v>
      </c>
      <c r="T57" s="340">
        <v>8.16</v>
      </c>
      <c r="U57" s="339">
        <v>3181.82</v>
      </c>
      <c r="V57" s="340">
        <v>6.75</v>
      </c>
      <c r="W57" s="340">
        <v>9.25</v>
      </c>
      <c r="X57" s="340">
        <v>11</v>
      </c>
      <c r="Y57" s="340">
        <v>7.5</v>
      </c>
      <c r="Z57" s="340"/>
      <c r="AA57" s="341">
        <f t="shared" si="28"/>
        <v>130.99000000000024</v>
      </c>
      <c r="AB57" s="342">
        <f t="shared" ref="AB57" si="36">SUM(AA57/G57)</f>
        <v>4.2935856799625097E-2</v>
      </c>
      <c r="AC57" s="447"/>
    </row>
    <row r="58" spans="1:29" ht="15">
      <c r="A58" s="340" t="s">
        <v>432</v>
      </c>
      <c r="B58" s="507" t="s">
        <v>532</v>
      </c>
      <c r="C58" s="340">
        <v>1</v>
      </c>
      <c r="D58" s="339">
        <v>850275.48</v>
      </c>
      <c r="E58" s="340">
        <v>114943</v>
      </c>
      <c r="F58" s="340">
        <v>8.16</v>
      </c>
      <c r="G58" s="339">
        <v>4775</v>
      </c>
      <c r="H58" s="340">
        <v>6.62</v>
      </c>
      <c r="I58" s="340">
        <v>9.06</v>
      </c>
      <c r="J58" s="340">
        <v>10.77</v>
      </c>
      <c r="K58" s="340">
        <v>7.35</v>
      </c>
      <c r="L58" s="340"/>
      <c r="M58" s="340"/>
      <c r="N58" s="340"/>
      <c r="O58" s="340" t="s">
        <v>432</v>
      </c>
      <c r="P58" s="507" t="s">
        <v>532</v>
      </c>
      <c r="Q58" s="340">
        <v>1</v>
      </c>
      <c r="R58" s="339">
        <v>850275.48</v>
      </c>
      <c r="S58" s="340">
        <v>114943</v>
      </c>
      <c r="T58" s="340">
        <v>8.16</v>
      </c>
      <c r="U58" s="339">
        <v>5012.8</v>
      </c>
      <c r="V58" s="340">
        <v>6.75</v>
      </c>
      <c r="W58" s="340">
        <v>9.25</v>
      </c>
      <c r="X58" s="340">
        <v>11</v>
      </c>
      <c r="Y58" s="340">
        <v>7.5</v>
      </c>
      <c r="Z58" s="340"/>
      <c r="AA58" s="341">
        <f t="shared" si="28"/>
        <v>237.80000000000018</v>
      </c>
      <c r="AB58" s="342">
        <f t="shared" ref="AB58" si="37">SUM(AA58/G58)</f>
        <v>4.9801047120418884E-2</v>
      </c>
      <c r="AC58" s="447"/>
    </row>
    <row r="59" spans="1:29" ht="15">
      <c r="A59" s="340" t="s">
        <v>432</v>
      </c>
      <c r="B59" s="507" t="s">
        <v>533</v>
      </c>
      <c r="C59" s="340">
        <v>1</v>
      </c>
      <c r="D59" s="339">
        <v>850275.48</v>
      </c>
      <c r="E59" s="340">
        <v>114943</v>
      </c>
      <c r="F59" s="340">
        <v>8.16</v>
      </c>
      <c r="G59" s="339">
        <v>5542</v>
      </c>
      <c r="H59" s="340">
        <v>6.62</v>
      </c>
      <c r="I59" s="340">
        <v>9.06</v>
      </c>
      <c r="J59" s="340">
        <v>10.77</v>
      </c>
      <c r="K59" s="340">
        <v>7.35</v>
      </c>
      <c r="L59" s="340"/>
      <c r="M59" s="340"/>
      <c r="N59" s="340"/>
      <c r="O59" s="340" t="s">
        <v>432</v>
      </c>
      <c r="P59" s="507" t="s">
        <v>533</v>
      </c>
      <c r="Q59" s="340">
        <v>1</v>
      </c>
      <c r="R59" s="339">
        <v>850275.48</v>
      </c>
      <c r="S59" s="340">
        <v>114943</v>
      </c>
      <c r="T59" s="340">
        <v>8.16</v>
      </c>
      <c r="U59" s="339">
        <v>5813.5</v>
      </c>
      <c r="V59" s="340">
        <v>6.75</v>
      </c>
      <c r="W59" s="340">
        <v>9.25</v>
      </c>
      <c r="X59" s="340">
        <v>11</v>
      </c>
      <c r="Y59" s="340">
        <v>7.5</v>
      </c>
      <c r="Z59" s="340"/>
      <c r="AA59" s="341">
        <f t="shared" si="28"/>
        <v>271.5</v>
      </c>
      <c r="AB59" s="342">
        <f t="shared" ref="AB59" si="38">SUM(AA59/G59)</f>
        <v>4.8989534464092384E-2</v>
      </c>
      <c r="AC59" s="447"/>
    </row>
    <row r="60" spans="1:29" ht="15">
      <c r="A60" s="340" t="s">
        <v>432</v>
      </c>
      <c r="B60" s="507" t="s">
        <v>506</v>
      </c>
      <c r="C60" s="340">
        <v>1</v>
      </c>
      <c r="D60" s="339">
        <v>850275.48</v>
      </c>
      <c r="E60" s="340">
        <v>114943</v>
      </c>
      <c r="F60" s="340">
        <v>8.16</v>
      </c>
      <c r="G60" s="339">
        <v>25.6</v>
      </c>
      <c r="H60" s="340">
        <v>6.62</v>
      </c>
      <c r="I60" s="340">
        <v>9.06</v>
      </c>
      <c r="J60" s="340">
        <v>10.77</v>
      </c>
      <c r="K60" s="340">
        <v>7.35</v>
      </c>
      <c r="L60" s="340"/>
      <c r="M60" s="340"/>
      <c r="N60" s="340"/>
      <c r="O60" s="340" t="s">
        <v>432</v>
      </c>
      <c r="P60" s="507" t="s">
        <v>506</v>
      </c>
      <c r="Q60" s="340">
        <v>1</v>
      </c>
      <c r="R60" s="339">
        <v>850275.48</v>
      </c>
      <c r="S60" s="340">
        <v>114943</v>
      </c>
      <c r="T60" s="340">
        <v>8.16</v>
      </c>
      <c r="U60" s="339">
        <v>26.75</v>
      </c>
      <c r="V60" s="340">
        <v>6.75</v>
      </c>
      <c r="W60" s="340">
        <v>9.25</v>
      </c>
      <c r="X60" s="340">
        <v>11</v>
      </c>
      <c r="Y60" s="340">
        <v>7.5</v>
      </c>
      <c r="Z60" s="340"/>
      <c r="AA60" s="341">
        <f t="shared" si="28"/>
        <v>1.1499999999999986</v>
      </c>
      <c r="AB60" s="342">
        <f t="shared" ref="AB60" si="39">SUM(AA60/G60)</f>
        <v>4.4921874999999944E-2</v>
      </c>
      <c r="AC60" s="447"/>
    </row>
    <row r="61" spans="1:29" ht="15">
      <c r="A61" s="340" t="s">
        <v>473</v>
      </c>
      <c r="B61" s="507" t="s">
        <v>207</v>
      </c>
      <c r="C61" s="340">
        <v>1</v>
      </c>
      <c r="D61" s="339">
        <v>850275.48</v>
      </c>
      <c r="E61" s="340">
        <v>114943</v>
      </c>
      <c r="F61" s="340">
        <v>8.16</v>
      </c>
      <c r="G61" s="339">
        <v>147.01</v>
      </c>
      <c r="H61" s="340">
        <v>6.62</v>
      </c>
      <c r="I61" s="340">
        <v>9.06</v>
      </c>
      <c r="J61" s="340">
        <v>10.77</v>
      </c>
      <c r="K61" s="340">
        <v>7.35</v>
      </c>
      <c r="L61" s="340"/>
      <c r="M61" s="340"/>
      <c r="N61" s="340"/>
      <c r="O61" s="340" t="s">
        <v>473</v>
      </c>
      <c r="P61" s="507" t="s">
        <v>207</v>
      </c>
      <c r="Q61" s="340">
        <v>1</v>
      </c>
      <c r="R61" s="339">
        <v>850275.48</v>
      </c>
      <c r="S61" s="340">
        <v>114943</v>
      </c>
      <c r="T61" s="340">
        <v>8.16</v>
      </c>
      <c r="U61" s="339">
        <v>154.35</v>
      </c>
      <c r="V61" s="340">
        <v>6.75</v>
      </c>
      <c r="W61" s="340">
        <v>9.25</v>
      </c>
      <c r="X61" s="340">
        <v>11</v>
      </c>
      <c r="Y61" s="340">
        <v>7.5</v>
      </c>
      <c r="Z61" s="340"/>
      <c r="AA61" s="341">
        <f t="shared" si="28"/>
        <v>7.3400000000000034</v>
      </c>
      <c r="AB61" s="342">
        <f t="shared" ref="AB61" si="40">SUM(AA61/G61)</f>
        <v>4.9928576287327421E-2</v>
      </c>
      <c r="AC61" s="447"/>
    </row>
    <row r="62" spans="1:29" ht="15">
      <c r="A62" s="340" t="s">
        <v>473</v>
      </c>
      <c r="B62" s="507" t="s">
        <v>534</v>
      </c>
      <c r="C62" s="340">
        <v>1</v>
      </c>
      <c r="D62" s="339">
        <v>850275.48</v>
      </c>
      <c r="E62" s="340">
        <v>114943</v>
      </c>
      <c r="F62" s="340">
        <v>8.16</v>
      </c>
      <c r="G62" s="339">
        <v>834.41</v>
      </c>
      <c r="H62" s="340">
        <v>6.62</v>
      </c>
      <c r="I62" s="340">
        <v>9.06</v>
      </c>
      <c r="J62" s="340">
        <v>10.77</v>
      </c>
      <c r="K62" s="340">
        <v>7.35</v>
      </c>
      <c r="L62" s="340"/>
      <c r="M62" s="340"/>
      <c r="N62" s="340"/>
      <c r="O62" s="340" t="s">
        <v>473</v>
      </c>
      <c r="P62" s="507" t="s">
        <v>534</v>
      </c>
      <c r="Q62" s="340">
        <v>1</v>
      </c>
      <c r="R62" s="339">
        <v>850275.48</v>
      </c>
      <c r="S62" s="340">
        <v>114943</v>
      </c>
      <c r="T62" s="340">
        <v>8.16</v>
      </c>
      <c r="U62" s="339">
        <v>876.05</v>
      </c>
      <c r="V62" s="340">
        <v>6.75</v>
      </c>
      <c r="W62" s="340">
        <v>9.25</v>
      </c>
      <c r="X62" s="340">
        <v>11</v>
      </c>
      <c r="Y62" s="340">
        <v>7.5</v>
      </c>
      <c r="Z62" s="340"/>
      <c r="AA62" s="341">
        <f t="shared" si="28"/>
        <v>41.639999999999986</v>
      </c>
      <c r="AB62" s="342">
        <f t="shared" ref="AB62" si="41">SUM(AA62/G62)</f>
        <v>4.9903524646157153E-2</v>
      </c>
      <c r="AC62" s="447"/>
    </row>
    <row r="63" spans="1:29" ht="15">
      <c r="A63" s="340" t="s">
        <v>473</v>
      </c>
      <c r="B63" s="507" t="s">
        <v>535</v>
      </c>
      <c r="C63" s="340">
        <v>1</v>
      </c>
      <c r="D63" s="339">
        <v>850275.48</v>
      </c>
      <c r="E63" s="340">
        <v>114943</v>
      </c>
      <c r="F63" s="340">
        <v>8.16</v>
      </c>
      <c r="G63" s="339" t="s">
        <v>519</v>
      </c>
      <c r="H63" s="340">
        <v>6.62</v>
      </c>
      <c r="I63" s="340">
        <v>9.06</v>
      </c>
      <c r="J63" s="340">
        <v>10.77</v>
      </c>
      <c r="K63" s="340">
        <v>7.35</v>
      </c>
      <c r="L63" s="340"/>
      <c r="M63" s="340"/>
      <c r="N63" s="340"/>
      <c r="O63" s="340" t="s">
        <v>473</v>
      </c>
      <c r="P63" s="507" t="s">
        <v>535</v>
      </c>
      <c r="Q63" s="340">
        <v>1</v>
      </c>
      <c r="R63" s="339">
        <v>850275.48</v>
      </c>
      <c r="S63" s="340">
        <v>114943</v>
      </c>
      <c r="T63" s="340">
        <v>8.16</v>
      </c>
      <c r="U63" s="339" t="s">
        <v>519</v>
      </c>
      <c r="V63" s="340">
        <v>6.75</v>
      </c>
      <c r="W63" s="340">
        <v>9.25</v>
      </c>
      <c r="X63" s="340">
        <v>11</v>
      </c>
      <c r="Y63" s="340">
        <v>7.5</v>
      </c>
      <c r="Z63" s="340"/>
      <c r="AA63" s="341" t="s">
        <v>519</v>
      </c>
      <c r="AB63" s="342" t="s">
        <v>519</v>
      </c>
      <c r="AC63" s="447"/>
    </row>
    <row r="64" spans="1:29" ht="15">
      <c r="A64" s="340" t="s">
        <v>473</v>
      </c>
      <c r="B64" s="507" t="s">
        <v>508</v>
      </c>
      <c r="C64" s="340">
        <v>1</v>
      </c>
      <c r="D64" s="339">
        <v>850275.48</v>
      </c>
      <c r="E64" s="340">
        <v>114943</v>
      </c>
      <c r="F64" s="340">
        <v>8.16</v>
      </c>
      <c r="G64" s="339">
        <v>9.59</v>
      </c>
      <c r="H64" s="340">
        <v>6.62</v>
      </c>
      <c r="I64" s="340">
        <v>9.06</v>
      </c>
      <c r="J64" s="340">
        <v>10.77</v>
      </c>
      <c r="K64" s="340">
        <v>7.35</v>
      </c>
      <c r="L64" s="340"/>
      <c r="M64" s="340"/>
      <c r="N64" s="340"/>
      <c r="O64" s="340" t="s">
        <v>473</v>
      </c>
      <c r="P64" s="507" t="s">
        <v>508</v>
      </c>
      <c r="Q64" s="340">
        <v>1</v>
      </c>
      <c r="R64" s="339">
        <v>850275.48</v>
      </c>
      <c r="S64" s="340">
        <v>114943</v>
      </c>
      <c r="T64" s="340">
        <v>8.16</v>
      </c>
      <c r="U64" s="339">
        <v>10.06</v>
      </c>
      <c r="V64" s="340">
        <v>6.75</v>
      </c>
      <c r="W64" s="340">
        <v>9.25</v>
      </c>
      <c r="X64" s="340">
        <v>11</v>
      </c>
      <c r="Y64" s="340">
        <v>7.5</v>
      </c>
      <c r="Z64" s="340"/>
      <c r="AA64" s="341">
        <f t="shared" ref="AA64:AA72" si="42">SUM(U64-G64)</f>
        <v>0.47000000000000064</v>
      </c>
      <c r="AB64" s="342">
        <f t="shared" ref="AB64" si="43">SUM(AA64/G64)</f>
        <v>4.9009384775808199E-2</v>
      </c>
      <c r="AC64" s="447"/>
    </row>
    <row r="65" spans="1:29" ht="15">
      <c r="A65" s="340" t="s">
        <v>473</v>
      </c>
      <c r="B65" s="507" t="s">
        <v>536</v>
      </c>
      <c r="C65" s="340">
        <v>1</v>
      </c>
      <c r="D65" s="339">
        <v>850275.48</v>
      </c>
      <c r="E65" s="340">
        <v>114943</v>
      </c>
      <c r="F65" s="340">
        <v>8.16</v>
      </c>
      <c r="G65" s="339">
        <v>92.38</v>
      </c>
      <c r="H65" s="340">
        <v>6.62</v>
      </c>
      <c r="I65" s="340">
        <v>9.06</v>
      </c>
      <c r="J65" s="340">
        <v>10.77</v>
      </c>
      <c r="K65" s="340">
        <v>7.35</v>
      </c>
      <c r="L65" s="340"/>
      <c r="M65" s="340"/>
      <c r="N65" s="340"/>
      <c r="O65" s="340" t="s">
        <v>473</v>
      </c>
      <c r="P65" s="507" t="s">
        <v>536</v>
      </c>
      <c r="Q65" s="340">
        <v>1</v>
      </c>
      <c r="R65" s="339">
        <v>850275.48</v>
      </c>
      <c r="S65" s="340">
        <v>114943</v>
      </c>
      <c r="T65" s="340">
        <v>8.16</v>
      </c>
      <c r="U65" s="339">
        <v>96.99</v>
      </c>
      <c r="V65" s="340">
        <v>6.75</v>
      </c>
      <c r="W65" s="340">
        <v>9.25</v>
      </c>
      <c r="X65" s="340">
        <v>11</v>
      </c>
      <c r="Y65" s="340">
        <v>7.5</v>
      </c>
      <c r="Z65" s="340"/>
      <c r="AA65" s="341">
        <f t="shared" si="42"/>
        <v>4.6099999999999994</v>
      </c>
      <c r="AB65" s="342">
        <f t="shared" ref="AB65" si="44">SUM(AA65/G65)</f>
        <v>4.9902576315219743E-2</v>
      </c>
      <c r="AC65" s="447"/>
    </row>
    <row r="66" spans="1:29" ht="15">
      <c r="A66" s="340" t="s">
        <v>473</v>
      </c>
      <c r="B66" s="507" t="s">
        <v>503</v>
      </c>
      <c r="C66" s="340">
        <v>1</v>
      </c>
      <c r="D66" s="339">
        <v>850275.48</v>
      </c>
      <c r="E66" s="340">
        <v>114943</v>
      </c>
      <c r="F66" s="340">
        <v>8.16</v>
      </c>
      <c r="G66" s="339">
        <v>98.22</v>
      </c>
      <c r="H66" s="340">
        <v>6.62</v>
      </c>
      <c r="I66" s="340">
        <v>9.06</v>
      </c>
      <c r="J66" s="340">
        <v>10.77</v>
      </c>
      <c r="K66" s="340">
        <v>7.35</v>
      </c>
      <c r="L66" s="340"/>
      <c r="M66" s="340"/>
      <c r="N66" s="340"/>
      <c r="O66" s="340" t="s">
        <v>473</v>
      </c>
      <c r="P66" s="507" t="s">
        <v>503</v>
      </c>
      <c r="Q66" s="340">
        <v>1</v>
      </c>
      <c r="R66" s="339">
        <v>850275.48</v>
      </c>
      <c r="S66" s="340">
        <v>114943</v>
      </c>
      <c r="T66" s="340">
        <v>8.16</v>
      </c>
      <c r="U66" s="339">
        <v>102.35</v>
      </c>
      <c r="V66" s="340">
        <v>6.75</v>
      </c>
      <c r="W66" s="340">
        <v>9.25</v>
      </c>
      <c r="X66" s="340">
        <v>11</v>
      </c>
      <c r="Y66" s="340">
        <v>7.5</v>
      </c>
      <c r="Z66" s="340"/>
      <c r="AA66" s="341">
        <f t="shared" si="42"/>
        <v>4.1299999999999955</v>
      </c>
      <c r="AB66" s="342">
        <f t="shared" ref="AB66" si="45">SUM(AA66/G66)</f>
        <v>4.2048462634901196E-2</v>
      </c>
      <c r="AC66" s="447"/>
    </row>
    <row r="67" spans="1:29" ht="15">
      <c r="A67" s="340" t="s">
        <v>473</v>
      </c>
      <c r="B67" s="507" t="s">
        <v>520</v>
      </c>
      <c r="C67" s="340">
        <v>1</v>
      </c>
      <c r="D67" s="339">
        <v>850275.48</v>
      </c>
      <c r="E67" s="340">
        <v>114943</v>
      </c>
      <c r="F67" s="340">
        <v>8.16</v>
      </c>
      <c r="G67" s="339">
        <v>98.22</v>
      </c>
      <c r="H67" s="340">
        <v>6.62</v>
      </c>
      <c r="I67" s="340">
        <v>9.06</v>
      </c>
      <c r="J67" s="340">
        <v>10.77</v>
      </c>
      <c r="K67" s="340">
        <v>7.35</v>
      </c>
      <c r="L67" s="340"/>
      <c r="M67" s="340"/>
      <c r="N67" s="340"/>
      <c r="O67" s="340" t="s">
        <v>473</v>
      </c>
      <c r="P67" s="507" t="s">
        <v>520</v>
      </c>
      <c r="Q67" s="340">
        <v>1</v>
      </c>
      <c r="R67" s="339">
        <v>850275.48</v>
      </c>
      <c r="S67" s="340">
        <v>114943</v>
      </c>
      <c r="T67" s="340">
        <v>8.16</v>
      </c>
      <c r="U67" s="339">
        <v>102.35</v>
      </c>
      <c r="V67" s="340">
        <v>6.75</v>
      </c>
      <c r="W67" s="340">
        <v>9.25</v>
      </c>
      <c r="X67" s="340">
        <v>11</v>
      </c>
      <c r="Y67" s="340">
        <v>7.5</v>
      </c>
      <c r="Z67" s="340"/>
      <c r="AA67" s="341">
        <f t="shared" si="42"/>
        <v>4.1299999999999955</v>
      </c>
      <c r="AB67" s="342">
        <f t="shared" ref="AB67" si="46">SUM(AA67/G67)</f>
        <v>4.2048462634901196E-2</v>
      </c>
      <c r="AC67" s="447"/>
    </row>
    <row r="68" spans="1:29" ht="15">
      <c r="A68" s="340" t="s">
        <v>473</v>
      </c>
      <c r="B68" s="507" t="s">
        <v>537</v>
      </c>
      <c r="C68" s="340">
        <v>1</v>
      </c>
      <c r="D68" s="339">
        <v>850275.48</v>
      </c>
      <c r="E68" s="340">
        <v>114943</v>
      </c>
      <c r="F68" s="340">
        <v>8.16</v>
      </c>
      <c r="G68" s="339">
        <v>18.38</v>
      </c>
      <c r="H68" s="340">
        <v>6.62</v>
      </c>
      <c r="I68" s="340">
        <v>9.06</v>
      </c>
      <c r="J68" s="340">
        <v>10.77</v>
      </c>
      <c r="K68" s="340">
        <v>7.35</v>
      </c>
      <c r="L68" s="340"/>
      <c r="M68" s="340"/>
      <c r="N68" s="340"/>
      <c r="O68" s="340" t="s">
        <v>473</v>
      </c>
      <c r="P68" s="507" t="s">
        <v>537</v>
      </c>
      <c r="Q68" s="340">
        <v>1</v>
      </c>
      <c r="R68" s="339">
        <v>850275.48</v>
      </c>
      <c r="S68" s="340">
        <v>114943</v>
      </c>
      <c r="T68" s="340">
        <v>8.16</v>
      </c>
      <c r="U68" s="339">
        <v>19.29</v>
      </c>
      <c r="V68" s="340">
        <v>6.75</v>
      </c>
      <c r="W68" s="340">
        <v>9.25</v>
      </c>
      <c r="X68" s="340">
        <v>11</v>
      </c>
      <c r="Y68" s="340">
        <v>7.5</v>
      </c>
      <c r="Z68" s="340"/>
      <c r="AA68" s="341">
        <f t="shared" si="42"/>
        <v>0.91000000000000014</v>
      </c>
      <c r="AB68" s="342">
        <f t="shared" ref="AB68" si="47">SUM(AA68/G68)</f>
        <v>4.9510337323177375E-2</v>
      </c>
      <c r="AC68" s="447"/>
    </row>
    <row r="69" spans="1:29" ht="15">
      <c r="A69" s="340" t="s">
        <v>473</v>
      </c>
      <c r="B69" s="507" t="s">
        <v>538</v>
      </c>
      <c r="C69" s="340">
        <v>1</v>
      </c>
      <c r="D69" s="339">
        <v>850275.48</v>
      </c>
      <c r="E69" s="340">
        <v>114943</v>
      </c>
      <c r="F69" s="340">
        <v>8.16</v>
      </c>
      <c r="G69" s="339">
        <v>30.44</v>
      </c>
      <c r="H69" s="340">
        <v>6.62</v>
      </c>
      <c r="I69" s="340">
        <v>9.06</v>
      </c>
      <c r="J69" s="340">
        <v>10.77</v>
      </c>
      <c r="K69" s="340">
        <v>7.35</v>
      </c>
      <c r="L69" s="340"/>
      <c r="M69" s="340"/>
      <c r="N69" s="340"/>
      <c r="O69" s="340" t="s">
        <v>473</v>
      </c>
      <c r="P69" s="507" t="s">
        <v>538</v>
      </c>
      <c r="Q69" s="340">
        <v>1</v>
      </c>
      <c r="R69" s="339">
        <v>850275.48</v>
      </c>
      <c r="S69" s="340">
        <v>114943</v>
      </c>
      <c r="T69" s="340">
        <v>8.16</v>
      </c>
      <c r="U69" s="339">
        <v>31.96</v>
      </c>
      <c r="V69" s="340">
        <v>6.75</v>
      </c>
      <c r="W69" s="340">
        <v>9.25</v>
      </c>
      <c r="X69" s="340">
        <v>11</v>
      </c>
      <c r="Y69" s="340">
        <v>7.5</v>
      </c>
      <c r="Z69" s="340"/>
      <c r="AA69" s="341">
        <f t="shared" si="42"/>
        <v>1.5199999999999996</v>
      </c>
      <c r="AB69" s="342">
        <f t="shared" ref="AB69" si="48">SUM(AA69/G69)</f>
        <v>4.9934296977660955E-2</v>
      </c>
      <c r="AC69" s="447"/>
    </row>
    <row r="70" spans="1:29" ht="15">
      <c r="A70" s="340" t="s">
        <v>473</v>
      </c>
      <c r="B70" s="507" t="s">
        <v>510</v>
      </c>
      <c r="C70" s="340">
        <v>1</v>
      </c>
      <c r="D70" s="339">
        <v>850275.48</v>
      </c>
      <c r="E70" s="340">
        <v>114943</v>
      </c>
      <c r="F70" s="340">
        <v>8.16</v>
      </c>
      <c r="G70" s="339">
        <v>25.6</v>
      </c>
      <c r="H70" s="340">
        <v>6.62</v>
      </c>
      <c r="I70" s="340">
        <v>9.06</v>
      </c>
      <c r="J70" s="340">
        <v>10.77</v>
      </c>
      <c r="K70" s="340">
        <v>7.35</v>
      </c>
      <c r="L70" s="340"/>
      <c r="M70" s="340"/>
      <c r="N70" s="340"/>
      <c r="O70" s="340" t="s">
        <v>473</v>
      </c>
      <c r="P70" s="507" t="s">
        <v>510</v>
      </c>
      <c r="Q70" s="340">
        <v>1</v>
      </c>
      <c r="R70" s="339">
        <v>850275.48</v>
      </c>
      <c r="S70" s="340">
        <v>114943</v>
      </c>
      <c r="T70" s="340">
        <v>8.16</v>
      </c>
      <c r="U70" s="339">
        <v>26.88</v>
      </c>
      <c r="V70" s="340">
        <v>6.75</v>
      </c>
      <c r="W70" s="340">
        <v>9.25</v>
      </c>
      <c r="X70" s="340">
        <v>11</v>
      </c>
      <c r="Y70" s="340">
        <v>7.5</v>
      </c>
      <c r="Z70" s="340"/>
      <c r="AA70" s="341">
        <f t="shared" si="42"/>
        <v>1.2799999999999976</v>
      </c>
      <c r="AB70" s="342">
        <f t="shared" ref="AB70" si="49">SUM(AA70/G70)</f>
        <v>4.9999999999999906E-2</v>
      </c>
      <c r="AC70" s="447"/>
    </row>
    <row r="71" spans="1:29" ht="15">
      <c r="A71" s="340" t="s">
        <v>473</v>
      </c>
      <c r="B71" s="507" t="s">
        <v>533</v>
      </c>
      <c r="C71" s="340">
        <v>1</v>
      </c>
      <c r="D71" s="339">
        <v>850275.48</v>
      </c>
      <c r="E71" s="340">
        <v>114943</v>
      </c>
      <c r="F71" s="340">
        <v>8.16</v>
      </c>
      <c r="G71" s="339">
        <v>894.01</v>
      </c>
      <c r="H71" s="340">
        <v>6.62</v>
      </c>
      <c r="I71" s="340">
        <v>9.06</v>
      </c>
      <c r="J71" s="340">
        <v>10.77</v>
      </c>
      <c r="K71" s="340">
        <v>7.35</v>
      </c>
      <c r="L71" s="340"/>
      <c r="M71" s="340"/>
      <c r="N71" s="340"/>
      <c r="O71" s="340" t="s">
        <v>473</v>
      </c>
      <c r="P71" s="507" t="s">
        <v>533</v>
      </c>
      <c r="Q71" s="340">
        <v>1</v>
      </c>
      <c r="R71" s="339">
        <v>850275.48</v>
      </c>
      <c r="S71" s="340">
        <v>114943</v>
      </c>
      <c r="T71" s="340">
        <v>8.16</v>
      </c>
      <c r="U71" s="339">
        <v>938.62</v>
      </c>
      <c r="V71" s="340">
        <v>6.75</v>
      </c>
      <c r="W71" s="340">
        <v>9.25</v>
      </c>
      <c r="X71" s="340">
        <v>11</v>
      </c>
      <c r="Y71" s="340">
        <v>7.5</v>
      </c>
      <c r="Z71" s="340"/>
      <c r="AA71" s="341">
        <f t="shared" si="42"/>
        <v>44.610000000000014</v>
      </c>
      <c r="AB71" s="342">
        <f t="shared" ref="AB71" si="50">SUM(AA71/G71)</f>
        <v>4.9898770707262799E-2</v>
      </c>
      <c r="AC71" s="447"/>
    </row>
    <row r="72" spans="1:29" ht="15">
      <c r="A72" s="340" t="s">
        <v>473</v>
      </c>
      <c r="B72" s="507" t="s">
        <v>539</v>
      </c>
      <c r="C72" s="340">
        <v>1</v>
      </c>
      <c r="D72" s="339">
        <v>850275.48</v>
      </c>
      <c r="E72" s="340">
        <v>114943</v>
      </c>
      <c r="F72" s="340">
        <v>8.16</v>
      </c>
      <c r="G72" s="339">
        <v>98.22</v>
      </c>
      <c r="H72" s="340">
        <v>6.62</v>
      </c>
      <c r="I72" s="340">
        <v>9.06</v>
      </c>
      <c r="J72" s="340">
        <v>10.77</v>
      </c>
      <c r="K72" s="340">
        <v>7.35</v>
      </c>
      <c r="L72" s="340"/>
      <c r="M72" s="340"/>
      <c r="N72" s="340"/>
      <c r="O72" s="340" t="s">
        <v>473</v>
      </c>
      <c r="P72" s="507" t="s">
        <v>539</v>
      </c>
      <c r="Q72" s="340">
        <v>1</v>
      </c>
      <c r="R72" s="339">
        <v>850275.48</v>
      </c>
      <c r="S72" s="340">
        <v>114943</v>
      </c>
      <c r="T72" s="340">
        <v>8.16</v>
      </c>
      <c r="U72" s="339">
        <v>102.35</v>
      </c>
      <c r="V72" s="340">
        <v>6.75</v>
      </c>
      <c r="W72" s="340">
        <v>9.25</v>
      </c>
      <c r="X72" s="340">
        <v>11</v>
      </c>
      <c r="Y72" s="340">
        <v>7.5</v>
      </c>
      <c r="Z72" s="340"/>
      <c r="AA72" s="341">
        <f t="shared" si="42"/>
        <v>4.1299999999999955</v>
      </c>
      <c r="AB72" s="342">
        <f t="shared" ref="AB72" si="51">SUM(AA72/G72)</f>
        <v>4.2048462634901196E-2</v>
      </c>
      <c r="AC72" s="447"/>
    </row>
    <row r="73" spans="1:29" ht="15">
      <c r="A73" s="340" t="s">
        <v>473</v>
      </c>
      <c r="B73" s="507" t="s">
        <v>521</v>
      </c>
      <c r="C73" s="340">
        <v>1</v>
      </c>
      <c r="D73" s="339">
        <v>850275.48</v>
      </c>
      <c r="E73" s="340">
        <v>114943</v>
      </c>
      <c r="F73" s="340">
        <v>8.16</v>
      </c>
      <c r="G73" s="339" t="s">
        <v>519</v>
      </c>
      <c r="H73" s="340">
        <v>6.62</v>
      </c>
      <c r="I73" s="340">
        <v>9.06</v>
      </c>
      <c r="J73" s="340">
        <v>10.77</v>
      </c>
      <c r="K73" s="340">
        <v>7.35</v>
      </c>
      <c r="L73" s="340"/>
      <c r="M73" s="340"/>
      <c r="N73" s="340"/>
      <c r="O73" s="340" t="s">
        <v>473</v>
      </c>
      <c r="P73" s="507" t="s">
        <v>521</v>
      </c>
      <c r="Q73" s="340">
        <v>1</v>
      </c>
      <c r="R73" s="339">
        <v>850275.48</v>
      </c>
      <c r="S73" s="340">
        <v>114943</v>
      </c>
      <c r="T73" s="340">
        <v>8.16</v>
      </c>
      <c r="U73" s="339" t="s">
        <v>519</v>
      </c>
      <c r="V73" s="339" t="s">
        <v>519</v>
      </c>
      <c r="W73" s="339" t="s">
        <v>519</v>
      </c>
      <c r="X73" s="339" t="s">
        <v>519</v>
      </c>
      <c r="Y73" s="339" t="s">
        <v>519</v>
      </c>
      <c r="Z73" s="339" t="s">
        <v>519</v>
      </c>
      <c r="AA73" s="339" t="s">
        <v>519</v>
      </c>
      <c r="AB73" s="339" t="s">
        <v>519</v>
      </c>
      <c r="AC73" s="447"/>
    </row>
    <row r="74" spans="1:29" ht="15">
      <c r="A74" s="340" t="s">
        <v>473</v>
      </c>
      <c r="B74" s="507" t="s">
        <v>522</v>
      </c>
      <c r="C74" s="340">
        <v>1</v>
      </c>
      <c r="D74" s="339">
        <v>850275.48</v>
      </c>
      <c r="E74" s="340">
        <v>114943</v>
      </c>
      <c r="F74" s="340">
        <v>8.16</v>
      </c>
      <c r="G74" s="339" t="s">
        <v>519</v>
      </c>
      <c r="H74" s="340">
        <v>6.62</v>
      </c>
      <c r="I74" s="340">
        <v>9.06</v>
      </c>
      <c r="J74" s="340">
        <v>10.77</v>
      </c>
      <c r="K74" s="340">
        <v>7.35</v>
      </c>
      <c r="L74" s="340"/>
      <c r="M74" s="340"/>
      <c r="N74" s="340"/>
      <c r="O74" s="340" t="s">
        <v>473</v>
      </c>
      <c r="P74" s="507" t="s">
        <v>522</v>
      </c>
      <c r="Q74" s="340">
        <v>1</v>
      </c>
      <c r="R74" s="339">
        <v>850275.48</v>
      </c>
      <c r="S74" s="340">
        <v>114943</v>
      </c>
      <c r="T74" s="340">
        <v>8.16</v>
      </c>
      <c r="U74" s="339" t="s">
        <v>519</v>
      </c>
      <c r="V74" s="339" t="s">
        <v>519</v>
      </c>
      <c r="W74" s="339" t="s">
        <v>519</v>
      </c>
      <c r="X74" s="339" t="s">
        <v>519</v>
      </c>
      <c r="Y74" s="339" t="s">
        <v>519</v>
      </c>
      <c r="Z74" s="339" t="s">
        <v>519</v>
      </c>
      <c r="AA74" s="339" t="s">
        <v>519</v>
      </c>
      <c r="AB74" s="339" t="s">
        <v>519</v>
      </c>
      <c r="AC74" s="447"/>
    </row>
    <row r="75" spans="1:29" ht="15">
      <c r="A75" s="340" t="s">
        <v>473</v>
      </c>
      <c r="B75" s="507" t="s">
        <v>523</v>
      </c>
      <c r="C75" s="340">
        <v>1</v>
      </c>
      <c r="D75" s="339">
        <v>850275.48</v>
      </c>
      <c r="E75" s="340">
        <v>114943</v>
      </c>
      <c r="F75" s="340">
        <v>8.16</v>
      </c>
      <c r="G75" s="339" t="s">
        <v>519</v>
      </c>
      <c r="H75" s="340">
        <v>6.62</v>
      </c>
      <c r="I75" s="340">
        <v>9.06</v>
      </c>
      <c r="J75" s="340">
        <v>10.77</v>
      </c>
      <c r="K75" s="340">
        <v>7.35</v>
      </c>
      <c r="L75" s="340"/>
      <c r="M75" s="340"/>
      <c r="N75" s="340"/>
      <c r="O75" s="340" t="s">
        <v>473</v>
      </c>
      <c r="P75" s="507" t="s">
        <v>523</v>
      </c>
      <c r="Q75" s="340">
        <v>1</v>
      </c>
      <c r="R75" s="339">
        <v>850275.48</v>
      </c>
      <c r="S75" s="340">
        <v>114943</v>
      </c>
      <c r="T75" s="340">
        <v>8.16</v>
      </c>
      <c r="U75" s="339" t="s">
        <v>519</v>
      </c>
      <c r="V75" s="339" t="s">
        <v>519</v>
      </c>
      <c r="W75" s="339" t="s">
        <v>519</v>
      </c>
      <c r="X75" s="339" t="s">
        <v>519</v>
      </c>
      <c r="Y75" s="339" t="s">
        <v>519</v>
      </c>
      <c r="Z75" s="339" t="s">
        <v>519</v>
      </c>
      <c r="AA75" s="339" t="s">
        <v>519</v>
      </c>
      <c r="AB75" s="339" t="s">
        <v>519</v>
      </c>
      <c r="AC75" s="447"/>
    </row>
    <row r="76" spans="1:29" ht="15">
      <c r="A76" s="340" t="s">
        <v>473</v>
      </c>
      <c r="B76" s="507" t="s">
        <v>524</v>
      </c>
      <c r="C76" s="340">
        <v>1</v>
      </c>
      <c r="D76" s="339">
        <v>850275.48</v>
      </c>
      <c r="E76" s="340">
        <v>114943</v>
      </c>
      <c r="F76" s="340">
        <v>8.16</v>
      </c>
      <c r="G76" s="339" t="s">
        <v>519</v>
      </c>
      <c r="H76" s="340">
        <v>6.62</v>
      </c>
      <c r="I76" s="340">
        <v>9.06</v>
      </c>
      <c r="J76" s="340">
        <v>10.77</v>
      </c>
      <c r="K76" s="340">
        <v>7.35</v>
      </c>
      <c r="L76" s="340"/>
      <c r="M76" s="340"/>
      <c r="N76" s="340"/>
      <c r="O76" s="340" t="s">
        <v>473</v>
      </c>
      <c r="P76" s="507" t="s">
        <v>524</v>
      </c>
      <c r="Q76" s="340">
        <v>1</v>
      </c>
      <c r="R76" s="339">
        <v>850275.48</v>
      </c>
      <c r="S76" s="340">
        <v>114943</v>
      </c>
      <c r="T76" s="340">
        <v>8.16</v>
      </c>
      <c r="U76" s="339" t="s">
        <v>519</v>
      </c>
      <c r="V76" s="339" t="s">
        <v>519</v>
      </c>
      <c r="W76" s="339" t="s">
        <v>519</v>
      </c>
      <c r="X76" s="339" t="s">
        <v>519</v>
      </c>
      <c r="Y76" s="339" t="s">
        <v>519</v>
      </c>
      <c r="Z76" s="339" t="s">
        <v>519</v>
      </c>
      <c r="AA76" s="339" t="s">
        <v>519</v>
      </c>
      <c r="AB76" s="339" t="s">
        <v>519</v>
      </c>
      <c r="AC76" s="447"/>
    </row>
    <row r="77" spans="1:29" ht="15">
      <c r="A77" s="340" t="s">
        <v>473</v>
      </c>
      <c r="B77" s="507" t="s">
        <v>506</v>
      </c>
      <c r="C77" s="340">
        <v>1</v>
      </c>
      <c r="D77" s="339">
        <v>850275.48</v>
      </c>
      <c r="E77" s="340">
        <v>114943</v>
      </c>
      <c r="F77" s="340">
        <v>8.16</v>
      </c>
      <c r="G77" s="339">
        <v>25.6</v>
      </c>
      <c r="H77" s="340">
        <v>6.62</v>
      </c>
      <c r="I77" s="340">
        <v>9.06</v>
      </c>
      <c r="J77" s="340">
        <v>10.77</v>
      </c>
      <c r="K77" s="340">
        <v>7.35</v>
      </c>
      <c r="L77" s="340"/>
      <c r="M77" s="340"/>
      <c r="N77" s="340"/>
      <c r="O77" s="340" t="s">
        <v>473</v>
      </c>
      <c r="P77" s="507" t="s">
        <v>506</v>
      </c>
      <c r="Q77" s="340">
        <v>1</v>
      </c>
      <c r="R77" s="339">
        <v>850275.48</v>
      </c>
      <c r="S77" s="340">
        <v>114943</v>
      </c>
      <c r="T77" s="340">
        <v>8.16</v>
      </c>
      <c r="U77" s="339">
        <v>26.75</v>
      </c>
      <c r="V77" s="340">
        <v>6.75</v>
      </c>
      <c r="W77" s="340">
        <v>9.25</v>
      </c>
      <c r="X77" s="340">
        <v>11</v>
      </c>
      <c r="Y77" s="340">
        <v>7.5</v>
      </c>
      <c r="Z77" s="340"/>
      <c r="AA77" s="341">
        <f>SUM(U77-G77)</f>
        <v>1.1499999999999986</v>
      </c>
      <c r="AB77" s="342">
        <f t="shared" ref="AB77" si="52">SUM(AA77/G77)</f>
        <v>4.4921874999999944E-2</v>
      </c>
      <c r="AC77" s="447"/>
    </row>
    <row r="78" spans="1:29" ht="15">
      <c r="A78" s="340" t="s">
        <v>473</v>
      </c>
      <c r="B78" s="507" t="s">
        <v>525</v>
      </c>
      <c r="C78" s="340">
        <v>1</v>
      </c>
      <c r="D78" s="339">
        <v>850275.48</v>
      </c>
      <c r="E78" s="340">
        <v>114943</v>
      </c>
      <c r="F78" s="340">
        <v>8.16</v>
      </c>
      <c r="G78" s="339">
        <v>40.31</v>
      </c>
      <c r="H78" s="340">
        <v>6.62</v>
      </c>
      <c r="I78" s="340">
        <v>9.06</v>
      </c>
      <c r="J78" s="340">
        <v>10.77</v>
      </c>
      <c r="K78" s="340">
        <v>7.35</v>
      </c>
      <c r="L78" s="340"/>
      <c r="M78" s="340"/>
      <c r="N78" s="340"/>
      <c r="O78" s="340" t="s">
        <v>473</v>
      </c>
      <c r="P78" s="507" t="s">
        <v>525</v>
      </c>
      <c r="Q78" s="340">
        <v>1</v>
      </c>
      <c r="R78" s="339">
        <v>850275.48</v>
      </c>
      <c r="S78" s="340">
        <v>114943</v>
      </c>
      <c r="T78" s="340">
        <v>8.16</v>
      </c>
      <c r="U78" s="339">
        <v>42.32</v>
      </c>
      <c r="V78" s="340">
        <v>6.75</v>
      </c>
      <c r="W78" s="340">
        <v>9.25</v>
      </c>
      <c r="X78" s="340">
        <v>11</v>
      </c>
      <c r="Y78" s="340">
        <v>7.5</v>
      </c>
      <c r="Z78" s="340"/>
      <c r="AA78" s="341">
        <f>SUM(U78-G78)</f>
        <v>2.009999999999998</v>
      </c>
      <c r="AB78" s="342">
        <f t="shared" ref="AB78" si="53">SUM(AA78/G78)</f>
        <v>4.9863557429918083E-2</v>
      </c>
      <c r="AC78" s="447"/>
    </row>
    <row r="79" spans="1:29" ht="15">
      <c r="A79" s="340" t="s">
        <v>474</v>
      </c>
      <c r="B79" s="474" t="s">
        <v>540</v>
      </c>
      <c r="C79" s="340">
        <v>1</v>
      </c>
      <c r="D79" s="339">
        <v>850275.48</v>
      </c>
      <c r="E79" s="340">
        <v>114943</v>
      </c>
      <c r="F79" s="340">
        <v>8.16</v>
      </c>
      <c r="G79" s="339">
        <v>152.97999999999999</v>
      </c>
      <c r="H79" s="340">
        <v>6.62</v>
      </c>
      <c r="I79" s="340">
        <v>9.06</v>
      </c>
      <c r="J79" s="340">
        <v>10.77</v>
      </c>
      <c r="K79" s="340">
        <v>7.35</v>
      </c>
      <c r="L79" s="340"/>
      <c r="M79" s="340"/>
      <c r="N79" s="340"/>
      <c r="O79" s="340" t="s">
        <v>474</v>
      </c>
      <c r="P79" s="507" t="s">
        <v>540</v>
      </c>
      <c r="Q79" s="340">
        <v>1</v>
      </c>
      <c r="R79" s="339">
        <v>850275.48</v>
      </c>
      <c r="S79" s="340">
        <v>114943</v>
      </c>
      <c r="T79" s="340">
        <v>8.16</v>
      </c>
      <c r="U79" s="339">
        <v>160.61000000000001</v>
      </c>
      <c r="V79" s="340">
        <v>6.75</v>
      </c>
      <c r="W79" s="340">
        <v>9.25</v>
      </c>
      <c r="X79" s="340">
        <v>11</v>
      </c>
      <c r="Y79" s="340">
        <v>7.5</v>
      </c>
      <c r="Z79" s="340"/>
      <c r="AA79" s="341">
        <f>SUM(U79-G79)</f>
        <v>7.6300000000000239</v>
      </c>
      <c r="AB79" s="342">
        <f t="shared" ref="AB79" si="54">SUM(AA79/G79)</f>
        <v>4.9875800758269216E-2</v>
      </c>
      <c r="AC79" s="447"/>
    </row>
    <row r="80" spans="1:29" ht="15">
      <c r="A80" s="511" t="s">
        <v>474</v>
      </c>
      <c r="B80" s="513" t="s">
        <v>506</v>
      </c>
      <c r="C80" s="512">
        <v>1</v>
      </c>
      <c r="D80" s="339">
        <v>850275.48</v>
      </c>
      <c r="E80" s="340">
        <v>114943</v>
      </c>
      <c r="F80" s="340">
        <v>8.16</v>
      </c>
      <c r="G80" s="509">
        <v>25.6</v>
      </c>
      <c r="H80" s="340">
        <v>6.62</v>
      </c>
      <c r="I80" s="340">
        <v>9.06</v>
      </c>
      <c r="J80" s="340">
        <v>10.77</v>
      </c>
      <c r="K80" s="340">
        <v>7.35</v>
      </c>
      <c r="L80" s="340"/>
      <c r="M80" s="340"/>
      <c r="N80" s="340"/>
      <c r="O80" s="340" t="s">
        <v>474</v>
      </c>
      <c r="P80" s="510" t="s">
        <v>506</v>
      </c>
      <c r="Q80" s="340">
        <v>1</v>
      </c>
      <c r="R80" s="339">
        <v>850275.48</v>
      </c>
      <c r="S80" s="340">
        <v>114943</v>
      </c>
      <c r="T80" s="340">
        <v>8.16</v>
      </c>
      <c r="U80" s="339">
        <v>26.75</v>
      </c>
      <c r="V80" s="340">
        <v>6.75</v>
      </c>
      <c r="W80" s="340">
        <v>9.25</v>
      </c>
      <c r="X80" s="340">
        <v>11</v>
      </c>
      <c r="Y80" s="340">
        <v>7.5</v>
      </c>
      <c r="Z80" s="340"/>
      <c r="AA80" s="341">
        <f>SUM(U80-G80)</f>
        <v>1.1499999999999986</v>
      </c>
      <c r="AB80" s="342">
        <f t="shared" ref="AB80" si="55">SUM(AA80/G80)</f>
        <v>4.4921874999999944E-2</v>
      </c>
      <c r="AC80" s="447"/>
    </row>
    <row r="81" spans="1:29" ht="15">
      <c r="A81" s="511" t="s">
        <v>475</v>
      </c>
      <c r="B81" s="513" t="s">
        <v>511</v>
      </c>
      <c r="C81" s="512">
        <v>1</v>
      </c>
      <c r="D81" s="339">
        <v>850275.48</v>
      </c>
      <c r="E81" s="340">
        <v>114943</v>
      </c>
      <c r="F81" s="340">
        <v>8.16</v>
      </c>
      <c r="G81" s="509">
        <v>62.13</v>
      </c>
      <c r="H81" s="340">
        <v>6.62</v>
      </c>
      <c r="I81" s="340">
        <v>9.06</v>
      </c>
      <c r="J81" s="340">
        <v>10.77</v>
      </c>
      <c r="K81" s="340">
        <v>7.35</v>
      </c>
      <c r="L81" s="340"/>
      <c r="M81" s="340"/>
      <c r="N81" s="340"/>
      <c r="O81" s="511" t="s">
        <v>475</v>
      </c>
      <c r="P81" s="510" t="s">
        <v>511</v>
      </c>
      <c r="Q81" s="340">
        <v>1</v>
      </c>
      <c r="R81" s="339">
        <v>850275.48</v>
      </c>
      <c r="S81" s="340">
        <v>114943</v>
      </c>
      <c r="T81" s="340">
        <v>8.16</v>
      </c>
      <c r="U81" s="339">
        <v>65.23</v>
      </c>
      <c r="V81" s="340">
        <v>6.75</v>
      </c>
      <c r="W81" s="340">
        <v>9.25</v>
      </c>
      <c r="X81" s="340">
        <v>11</v>
      </c>
      <c r="Y81" s="340">
        <v>7.5</v>
      </c>
      <c r="Z81" s="340"/>
      <c r="AA81" s="341">
        <f>SUM(U81-G81)</f>
        <v>3.1000000000000014</v>
      </c>
      <c r="AB81" s="342">
        <f t="shared" ref="AB81" si="56">SUM(AA81/G81)</f>
        <v>4.9895380653468553E-2</v>
      </c>
      <c r="AC81" s="447"/>
    </row>
    <row r="82" spans="1:29" ht="15">
      <c r="A82" s="511" t="s">
        <v>475</v>
      </c>
      <c r="B82" s="514" t="s">
        <v>541</v>
      </c>
      <c r="C82" s="512">
        <v>1</v>
      </c>
      <c r="D82" s="339">
        <v>850275.48</v>
      </c>
      <c r="E82" s="340">
        <v>114943</v>
      </c>
      <c r="F82" s="340">
        <v>8.16</v>
      </c>
      <c r="G82" s="509" t="s">
        <v>519</v>
      </c>
      <c r="H82" s="340">
        <v>6.62</v>
      </c>
      <c r="I82" s="340">
        <v>9.06</v>
      </c>
      <c r="J82" s="340">
        <v>10.77</v>
      </c>
      <c r="K82" s="340">
        <v>7.35</v>
      </c>
      <c r="L82" s="340"/>
      <c r="M82" s="340"/>
      <c r="N82" s="340"/>
      <c r="O82" s="511" t="s">
        <v>475</v>
      </c>
      <c r="P82" s="510" t="s">
        <v>541</v>
      </c>
      <c r="Q82" s="340">
        <v>1</v>
      </c>
      <c r="R82" s="339">
        <v>850275.48</v>
      </c>
      <c r="S82" s="340">
        <v>114943</v>
      </c>
      <c r="T82" s="340">
        <v>8.16</v>
      </c>
      <c r="U82" s="339" t="s">
        <v>519</v>
      </c>
      <c r="V82" s="340">
        <v>6.75</v>
      </c>
      <c r="W82" s="340">
        <v>9.25</v>
      </c>
      <c r="X82" s="340">
        <v>11</v>
      </c>
      <c r="Y82" s="340">
        <v>7.5</v>
      </c>
      <c r="Z82" s="340"/>
      <c r="AA82" s="341" t="s">
        <v>519</v>
      </c>
      <c r="AB82" s="342" t="s">
        <v>519</v>
      </c>
      <c r="AC82" s="447"/>
    </row>
    <row r="83" spans="1:29" ht="15">
      <c r="A83" s="511" t="s">
        <v>475</v>
      </c>
      <c r="B83" s="513" t="s">
        <v>542</v>
      </c>
      <c r="C83" s="512">
        <v>1</v>
      </c>
      <c r="D83" s="339">
        <v>850275.48</v>
      </c>
      <c r="E83" s="340">
        <v>114943</v>
      </c>
      <c r="F83" s="340">
        <v>8.16</v>
      </c>
      <c r="G83" s="509">
        <v>2.15</v>
      </c>
      <c r="H83" s="340">
        <v>6.62</v>
      </c>
      <c r="I83" s="340">
        <v>9.06</v>
      </c>
      <c r="J83" s="340">
        <v>10.77</v>
      </c>
      <c r="K83" s="340">
        <v>7.35</v>
      </c>
      <c r="L83" s="340"/>
      <c r="M83" s="340"/>
      <c r="N83" s="340"/>
      <c r="O83" s="511" t="s">
        <v>475</v>
      </c>
      <c r="P83" s="510" t="s">
        <v>542</v>
      </c>
      <c r="Q83" s="340">
        <v>1</v>
      </c>
      <c r="R83" s="339">
        <v>850275.48</v>
      </c>
      <c r="S83" s="340">
        <v>114943</v>
      </c>
      <c r="T83" s="340">
        <v>8.16</v>
      </c>
      <c r="U83" s="339">
        <v>2.25</v>
      </c>
      <c r="V83" s="340">
        <v>6.75</v>
      </c>
      <c r="W83" s="340">
        <v>9.25</v>
      </c>
      <c r="X83" s="340">
        <v>11</v>
      </c>
      <c r="Y83" s="340">
        <v>7.5</v>
      </c>
      <c r="Z83" s="340"/>
      <c r="AA83" s="341">
        <f>SUM(U83-G83)</f>
        <v>0.10000000000000009</v>
      </c>
      <c r="AB83" s="342">
        <f t="shared" ref="AB83" si="57">SUM(AA83/G83)</f>
        <v>4.6511627906976785E-2</v>
      </c>
      <c r="AC83" s="447"/>
    </row>
    <row r="84" spans="1:29" ht="15">
      <c r="A84" s="511" t="s">
        <v>475</v>
      </c>
      <c r="B84" s="513" t="s">
        <v>543</v>
      </c>
      <c r="C84" s="512">
        <v>1</v>
      </c>
      <c r="D84" s="339">
        <v>850275.48</v>
      </c>
      <c r="E84" s="340">
        <v>114943</v>
      </c>
      <c r="F84" s="340">
        <v>8.16</v>
      </c>
      <c r="G84" s="339" t="s">
        <v>519</v>
      </c>
      <c r="H84" s="340">
        <v>6.62</v>
      </c>
      <c r="I84" s="340">
        <v>9.06</v>
      </c>
      <c r="J84" s="340">
        <v>10.77</v>
      </c>
      <c r="K84" s="340">
        <v>7.35</v>
      </c>
      <c r="L84" s="340"/>
      <c r="M84" s="340"/>
      <c r="N84" s="340"/>
      <c r="O84" s="511" t="s">
        <v>475</v>
      </c>
      <c r="P84" s="510" t="s">
        <v>543</v>
      </c>
      <c r="Q84" s="340">
        <v>1</v>
      </c>
      <c r="R84" s="339">
        <v>850275.48</v>
      </c>
      <c r="S84" s="340">
        <v>114943</v>
      </c>
      <c r="T84" s="340">
        <v>8.16</v>
      </c>
      <c r="U84" s="339" t="s">
        <v>519</v>
      </c>
      <c r="V84" s="339" t="s">
        <v>519</v>
      </c>
      <c r="W84" s="339" t="s">
        <v>519</v>
      </c>
      <c r="X84" s="339" t="s">
        <v>519</v>
      </c>
      <c r="Y84" s="339" t="s">
        <v>519</v>
      </c>
      <c r="Z84" s="339" t="s">
        <v>519</v>
      </c>
      <c r="AA84" s="339" t="s">
        <v>519</v>
      </c>
      <c r="AB84" s="339" t="s">
        <v>519</v>
      </c>
      <c r="AC84" s="447"/>
    </row>
    <row r="85" spans="1:29" ht="15">
      <c r="A85" s="511" t="s">
        <v>475</v>
      </c>
      <c r="B85" s="513" t="s">
        <v>544</v>
      </c>
      <c r="C85" s="512">
        <v>1</v>
      </c>
      <c r="D85" s="339">
        <v>850275.48</v>
      </c>
      <c r="E85" s="340">
        <v>114943</v>
      </c>
      <c r="F85" s="340">
        <v>8.16</v>
      </c>
      <c r="G85" s="339" t="s">
        <v>519</v>
      </c>
      <c r="H85" s="340">
        <v>6.62</v>
      </c>
      <c r="I85" s="340">
        <v>9.06</v>
      </c>
      <c r="J85" s="340">
        <v>10.77</v>
      </c>
      <c r="K85" s="340">
        <v>7.35</v>
      </c>
      <c r="L85" s="340"/>
      <c r="M85" s="340"/>
      <c r="N85" s="340"/>
      <c r="O85" s="511" t="s">
        <v>475</v>
      </c>
      <c r="P85" s="510" t="s">
        <v>544</v>
      </c>
      <c r="Q85" s="340">
        <v>1</v>
      </c>
      <c r="R85" s="339">
        <v>850275.48</v>
      </c>
      <c r="S85" s="340">
        <v>114943</v>
      </c>
      <c r="T85" s="340">
        <v>8.16</v>
      </c>
      <c r="U85" s="339" t="s">
        <v>519</v>
      </c>
      <c r="V85" s="339" t="s">
        <v>519</v>
      </c>
      <c r="W85" s="339" t="s">
        <v>519</v>
      </c>
      <c r="X85" s="339" t="s">
        <v>519</v>
      </c>
      <c r="Y85" s="339" t="s">
        <v>519</v>
      </c>
      <c r="Z85" s="339" t="s">
        <v>519</v>
      </c>
      <c r="AA85" s="339" t="s">
        <v>519</v>
      </c>
      <c r="AB85" s="339" t="s">
        <v>519</v>
      </c>
      <c r="AC85" s="447"/>
    </row>
    <row r="86" spans="1:29" ht="15">
      <c r="A86" s="511" t="s">
        <v>475</v>
      </c>
      <c r="B86" s="513" t="s">
        <v>545</v>
      </c>
      <c r="C86" s="512">
        <v>1</v>
      </c>
      <c r="D86" s="339">
        <v>850275.48</v>
      </c>
      <c r="E86" s="340">
        <v>114943</v>
      </c>
      <c r="F86" s="340">
        <v>8.16</v>
      </c>
      <c r="G86" s="339" t="s">
        <v>519</v>
      </c>
      <c r="H86" s="340">
        <v>6.62</v>
      </c>
      <c r="I86" s="340">
        <v>9.06</v>
      </c>
      <c r="J86" s="340">
        <v>10.77</v>
      </c>
      <c r="K86" s="340">
        <v>7.35</v>
      </c>
      <c r="L86" s="340"/>
      <c r="M86" s="340"/>
      <c r="N86" s="340"/>
      <c r="O86" s="511" t="s">
        <v>475</v>
      </c>
      <c r="P86" s="510" t="s">
        <v>545</v>
      </c>
      <c r="Q86" s="340">
        <v>1</v>
      </c>
      <c r="R86" s="339">
        <v>850275.48</v>
      </c>
      <c r="S86" s="340">
        <v>114943</v>
      </c>
      <c r="T86" s="340">
        <v>8.16</v>
      </c>
      <c r="U86" s="339" t="s">
        <v>519</v>
      </c>
      <c r="V86" s="339" t="s">
        <v>519</v>
      </c>
      <c r="W86" s="339" t="s">
        <v>519</v>
      </c>
      <c r="X86" s="339" t="s">
        <v>519</v>
      </c>
      <c r="Y86" s="339" t="s">
        <v>519</v>
      </c>
      <c r="Z86" s="339" t="s">
        <v>519</v>
      </c>
      <c r="AA86" s="339" t="s">
        <v>519</v>
      </c>
      <c r="AB86" s="339" t="s">
        <v>519</v>
      </c>
      <c r="AC86" s="447"/>
    </row>
    <row r="87" spans="1:29" ht="15">
      <c r="A87" s="511" t="s">
        <v>475</v>
      </c>
      <c r="B87" s="510" t="s">
        <v>546</v>
      </c>
      <c r="C87" s="512">
        <v>1</v>
      </c>
      <c r="D87" s="339">
        <v>850275.48</v>
      </c>
      <c r="E87" s="340">
        <v>114943</v>
      </c>
      <c r="F87" s="340">
        <v>8.16</v>
      </c>
      <c r="G87" s="339" t="s">
        <v>519</v>
      </c>
      <c r="H87" s="340">
        <v>6.62</v>
      </c>
      <c r="I87" s="340">
        <v>9.06</v>
      </c>
      <c r="J87" s="340">
        <v>10.77</v>
      </c>
      <c r="K87" s="340">
        <v>7.35</v>
      </c>
      <c r="L87" s="340"/>
      <c r="M87" s="340"/>
      <c r="N87" s="340"/>
      <c r="O87" s="511" t="s">
        <v>475</v>
      </c>
      <c r="P87" s="510" t="s">
        <v>546</v>
      </c>
      <c r="Q87" s="340">
        <v>1</v>
      </c>
      <c r="R87" s="339">
        <v>850275.48</v>
      </c>
      <c r="S87" s="340">
        <v>114943</v>
      </c>
      <c r="T87" s="340">
        <v>8.16</v>
      </c>
      <c r="U87" s="339" t="s">
        <v>519</v>
      </c>
      <c r="V87" s="339" t="s">
        <v>519</v>
      </c>
      <c r="W87" s="339" t="s">
        <v>519</v>
      </c>
      <c r="X87" s="339" t="s">
        <v>519</v>
      </c>
      <c r="Y87" s="339" t="s">
        <v>519</v>
      </c>
      <c r="Z87" s="339" t="s">
        <v>519</v>
      </c>
      <c r="AA87" s="339" t="s">
        <v>519</v>
      </c>
      <c r="AB87" s="339" t="s">
        <v>519</v>
      </c>
      <c r="AC87" s="447"/>
    </row>
  </sheetData>
  <mergeCells count="3">
    <mergeCell ref="A3:I3"/>
    <mergeCell ref="A5:I5"/>
    <mergeCell ref="A6:I6"/>
  </mergeCells>
  <conditionalFormatting sqref="AB11:AB42 AB44:AB45 AB50:AB72 AB77:AB83 AB88:AB516">
    <cfRule type="cellIs" dxfId="5" priority="1" operator="lessThan">
      <formula>-0.05</formula>
    </cfRule>
    <cfRule type="cellIs" dxfId="4" priority="2" operator="greaterThan">
      <formula>0.05</formula>
    </cfRule>
  </conditionalFormatting>
  <conditionalFormatting sqref="AB11:AB42 AB44:AB45 AB50:AB72 AB77:AB83 AB88:AB1016">
    <cfRule type="cellIs" dxfId="3" priority="5" operator="greaterThan">
      <formula>0.05</formula>
    </cfRule>
  </conditionalFormatting>
  <conditionalFormatting sqref="AB11:AB42 AB44:AB45 AB50:AB72 AB77:AB83">
    <cfRule type="cellIs" dxfId="2" priority="3" operator="lessThan">
      <formula>-0.05</formula>
    </cfRule>
    <cfRule type="expression" priority="4">
      <formula>"&gt;-5% OR &lt;5%"</formula>
    </cfRule>
  </conditionalFormatting>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8FBB8-02FC-4B93-9A85-C81FED9AB9A8}">
  <sheetPr>
    <tabColor theme="8" tint="0.59999389629810485"/>
  </sheetPr>
  <dimension ref="A1:M73"/>
  <sheetViews>
    <sheetView workbookViewId="0">
      <selection activeCell="M7" sqref="M7"/>
    </sheetView>
  </sheetViews>
  <sheetFormatPr defaultRowHeight="12.75"/>
  <cols>
    <col min="4" max="4" width="10.5703125" customWidth="1"/>
    <col min="5" max="5" width="16.7109375" customWidth="1"/>
    <col min="6" max="6" width="8.42578125" customWidth="1"/>
    <col min="7" max="7" width="7.7109375" customWidth="1"/>
    <col min="8" max="8" width="20.28515625" customWidth="1"/>
    <col min="9" max="9" width="14.7109375" customWidth="1"/>
    <col min="10" max="10" width="22.42578125" customWidth="1"/>
  </cols>
  <sheetData>
    <row r="1" spans="1:13" ht="42" customHeight="1" thickBot="1">
      <c r="A1" s="1087" t="s">
        <v>547</v>
      </c>
      <c r="B1" s="1088"/>
      <c r="C1" s="1088"/>
      <c r="D1" s="1088"/>
      <c r="E1" s="1088"/>
      <c r="F1" s="1088"/>
      <c r="G1" s="1088"/>
      <c r="H1" s="1088"/>
      <c r="I1" s="1088"/>
      <c r="J1" s="1089"/>
      <c r="K1" s="474"/>
      <c r="L1" s="474"/>
      <c r="M1" s="474"/>
    </row>
    <row r="2" spans="1:13" ht="16.5" thickBot="1">
      <c r="A2" s="1090" t="s">
        <v>548</v>
      </c>
      <c r="B2" s="1091"/>
      <c r="C2" s="1091"/>
      <c r="D2" s="1091"/>
      <c r="E2" s="1091"/>
      <c r="F2" s="1091"/>
      <c r="G2" s="1091"/>
      <c r="H2" s="1091"/>
      <c r="I2" s="1091"/>
      <c r="J2" s="1092"/>
      <c r="K2" s="474"/>
      <c r="L2" s="474"/>
      <c r="M2" s="474"/>
    </row>
    <row r="3" spans="1:13" ht="15" customHeight="1">
      <c r="A3" s="374" t="s">
        <v>549</v>
      </c>
      <c r="B3" s="484"/>
      <c r="C3" s="484"/>
      <c r="D3" s="1093" t="s">
        <v>550</v>
      </c>
      <c r="E3" s="1093"/>
      <c r="F3" s="483"/>
      <c r="G3" s="1222" t="s">
        <v>551</v>
      </c>
      <c r="H3" s="1222"/>
      <c r="I3" s="1094" t="s">
        <v>552</v>
      </c>
      <c r="J3" s="1095"/>
      <c r="K3" s="474"/>
      <c r="L3" s="474"/>
      <c r="M3" s="474"/>
    </row>
    <row r="4" spans="1:13" ht="15">
      <c r="A4" s="374" t="s">
        <v>553</v>
      </c>
      <c r="B4" s="484"/>
      <c r="C4" s="484"/>
      <c r="D4" s="1082" t="s">
        <v>554</v>
      </c>
      <c r="E4" s="1082"/>
      <c r="F4" s="483"/>
      <c r="G4" s="1223"/>
      <c r="H4" s="1223"/>
      <c r="I4" s="1081"/>
      <c r="J4" s="1085"/>
      <c r="K4" s="474"/>
      <c r="L4" s="474"/>
      <c r="M4" s="474"/>
    </row>
    <row r="5" spans="1:13" ht="18.75" customHeight="1">
      <c r="A5" s="1078" t="s">
        <v>555</v>
      </c>
      <c r="B5" s="1079"/>
      <c r="C5" s="1079"/>
      <c r="D5" s="1080" t="s">
        <v>556</v>
      </c>
      <c r="E5" s="1080"/>
      <c r="F5" s="483"/>
      <c r="G5" s="1223" t="s">
        <v>557</v>
      </c>
      <c r="H5" s="1223"/>
      <c r="I5" s="1082" t="s">
        <v>558</v>
      </c>
      <c r="J5" s="1083"/>
      <c r="K5" s="474"/>
      <c r="L5" s="474"/>
      <c r="M5" s="474"/>
    </row>
    <row r="6" spans="1:13" ht="15">
      <c r="A6" s="1078"/>
      <c r="B6" s="1079"/>
      <c r="C6" s="1079"/>
      <c r="D6" s="1081"/>
      <c r="E6" s="1081"/>
      <c r="F6" s="483"/>
      <c r="G6" s="1223" t="s">
        <v>559</v>
      </c>
      <c r="H6" s="1223"/>
      <c r="I6" s="1080" t="s">
        <v>560</v>
      </c>
      <c r="J6" s="1084"/>
      <c r="K6" s="474"/>
      <c r="L6" s="474"/>
      <c r="M6" s="474"/>
    </row>
    <row r="7" spans="1:13" ht="15">
      <c r="A7" s="374" t="s">
        <v>561</v>
      </c>
      <c r="B7" s="435"/>
      <c r="C7" s="435"/>
      <c r="D7" s="1086" t="s">
        <v>560</v>
      </c>
      <c r="E7" s="1086"/>
      <c r="F7" s="483"/>
      <c r="G7" s="1223"/>
      <c r="H7" s="1223"/>
      <c r="I7" s="1081"/>
      <c r="J7" s="1085"/>
      <c r="K7" s="474"/>
      <c r="L7" s="474"/>
      <c r="M7" s="474"/>
    </row>
    <row r="8" spans="1:13" ht="27" customHeight="1">
      <c r="A8" s="374" t="s">
        <v>562</v>
      </c>
      <c r="B8" s="484"/>
      <c r="C8" s="484"/>
      <c r="D8" s="1082"/>
      <c r="E8" s="1082"/>
      <c r="F8" s="483"/>
      <c r="G8" s="483" t="s">
        <v>563</v>
      </c>
      <c r="H8" s="483"/>
      <c r="I8" s="1108"/>
      <c r="J8" s="1109"/>
      <c r="K8" s="474"/>
      <c r="L8" s="474"/>
      <c r="M8" s="474"/>
    </row>
    <row r="9" spans="1:13" ht="15.75" thickBot="1">
      <c r="A9" s="375"/>
      <c r="B9" s="479"/>
      <c r="C9" s="1224"/>
      <c r="D9" s="1224"/>
      <c r="E9" s="376"/>
      <c r="F9" s="479"/>
      <c r="G9" s="479"/>
      <c r="H9" s="479"/>
      <c r="I9" s="377"/>
      <c r="J9" s="378"/>
      <c r="K9" s="474"/>
      <c r="L9" s="474"/>
      <c r="M9" s="474"/>
    </row>
    <row r="10" spans="1:13" ht="16.5" thickBot="1">
      <c r="A10" s="1110" t="s">
        <v>564</v>
      </c>
      <c r="B10" s="1111"/>
      <c r="C10" s="1111"/>
      <c r="D10" s="1111"/>
      <c r="E10" s="1111"/>
      <c r="F10" s="1111"/>
      <c r="G10" s="1111"/>
      <c r="H10" s="1111"/>
      <c r="I10" s="1111"/>
      <c r="J10" s="1112"/>
      <c r="K10" s="476"/>
      <c r="L10" s="476"/>
      <c r="M10" s="476"/>
    </row>
    <row r="11" spans="1:13" ht="15.75" thickBot="1">
      <c r="A11" s="392">
        <v>1</v>
      </c>
      <c r="B11" s="478">
        <v>2</v>
      </c>
      <c r="C11" s="1102" t="s">
        <v>565</v>
      </c>
      <c r="D11" s="1125"/>
      <c r="E11" s="478" t="s">
        <v>566</v>
      </c>
      <c r="F11" s="1102" t="s">
        <v>567</v>
      </c>
      <c r="G11" s="1126"/>
      <c r="H11" s="480">
        <v>6</v>
      </c>
      <c r="I11" s="481">
        <v>7</v>
      </c>
      <c r="J11" s="482">
        <v>8</v>
      </c>
      <c r="K11" s="476"/>
      <c r="L11" s="476"/>
      <c r="M11" s="476"/>
    </row>
    <row r="12" spans="1:13">
      <c r="A12" s="1096" t="s">
        <v>568</v>
      </c>
      <c r="B12" s="1098"/>
      <c r="C12" s="1100" t="s">
        <v>569</v>
      </c>
      <c r="D12" s="1101"/>
      <c r="E12" s="1098" t="s">
        <v>570</v>
      </c>
      <c r="F12" s="1104" t="s">
        <v>571</v>
      </c>
      <c r="G12" s="1105"/>
      <c r="H12" s="1113" t="s">
        <v>572</v>
      </c>
      <c r="I12" s="1115" t="s">
        <v>573</v>
      </c>
      <c r="J12" s="1117" t="s">
        <v>574</v>
      </c>
      <c r="K12" s="1135"/>
      <c r="L12" s="1136"/>
      <c r="M12" s="1136"/>
    </row>
    <row r="13" spans="1:13" ht="13.5" thickBot="1">
      <c r="A13" s="1097"/>
      <c r="B13" s="1099"/>
      <c r="C13" s="1102"/>
      <c r="D13" s="1103"/>
      <c r="E13" s="1099"/>
      <c r="F13" s="1106" t="s">
        <v>575</v>
      </c>
      <c r="G13" s="1107"/>
      <c r="H13" s="1114"/>
      <c r="I13" s="1116"/>
      <c r="J13" s="1118"/>
      <c r="K13" s="1135"/>
      <c r="L13" s="1136"/>
      <c r="M13" s="1136"/>
    </row>
    <row r="14" spans="1:13" ht="48.75" customHeight="1" thickBot="1">
      <c r="A14" s="1137" t="s">
        <v>576</v>
      </c>
      <c r="B14" s="477" t="s">
        <v>577</v>
      </c>
      <c r="C14" s="1149" t="s">
        <v>578</v>
      </c>
      <c r="D14" s="1150"/>
      <c r="E14" s="1151"/>
      <c r="F14" s="1119"/>
      <c r="G14" s="1120"/>
      <c r="H14" s="381"/>
      <c r="I14" s="382"/>
      <c r="J14" s="383"/>
      <c r="K14" s="474"/>
      <c r="L14" s="398"/>
      <c r="M14" s="397"/>
    </row>
    <row r="15" spans="1:13" ht="16.5" thickBot="1">
      <c r="A15" s="1138"/>
      <c r="B15" s="384"/>
      <c r="C15" s="1121"/>
      <c r="D15" s="1122"/>
      <c r="E15" s="385"/>
      <c r="F15" s="1123"/>
      <c r="G15" s="1124"/>
      <c r="H15" s="386"/>
      <c r="I15" s="386"/>
      <c r="J15" s="386"/>
      <c r="K15" s="474"/>
      <c r="L15" s="474"/>
      <c r="M15" s="474"/>
    </row>
    <row r="16" spans="1:13" ht="16.5" thickBot="1">
      <c r="A16" s="1138"/>
      <c r="B16" s="384"/>
      <c r="C16" s="1121"/>
      <c r="D16" s="1122"/>
      <c r="E16" s="385"/>
      <c r="F16" s="1123"/>
      <c r="G16" s="1124"/>
      <c r="H16" s="386"/>
      <c r="I16" s="386"/>
      <c r="J16" s="386"/>
      <c r="K16" s="474"/>
      <c r="L16" s="474"/>
      <c r="M16" s="474"/>
    </row>
    <row r="17" spans="1:13" ht="16.5" thickBot="1">
      <c r="A17" s="1138"/>
      <c r="B17" s="384"/>
      <c r="C17" s="1121"/>
      <c r="D17" s="1122"/>
      <c r="E17" s="385"/>
      <c r="F17" s="1123"/>
      <c r="G17" s="1124"/>
      <c r="H17" s="386"/>
      <c r="I17" s="386"/>
      <c r="J17" s="386"/>
      <c r="K17" s="474"/>
      <c r="L17" s="474"/>
      <c r="M17" s="474"/>
    </row>
    <row r="18" spans="1:13" ht="16.5" thickBot="1">
      <c r="A18" s="1138"/>
      <c r="B18" s="384"/>
      <c r="C18" s="1121"/>
      <c r="D18" s="1122"/>
      <c r="E18" s="385"/>
      <c r="F18" s="1123"/>
      <c r="G18" s="1124"/>
      <c r="H18" s="386"/>
      <c r="I18" s="386"/>
      <c r="J18" s="386"/>
      <c r="K18" s="474"/>
      <c r="L18" s="474"/>
      <c r="M18" s="474"/>
    </row>
    <row r="19" spans="1:13" ht="15.75" thickBot="1">
      <c r="A19" s="1138"/>
      <c r="B19" s="384"/>
      <c r="C19" s="1121"/>
      <c r="D19" s="1122"/>
      <c r="E19" s="387"/>
      <c r="F19" s="1123"/>
      <c r="G19" s="1124"/>
      <c r="H19" s="388"/>
      <c r="I19" s="389"/>
      <c r="J19" s="390"/>
      <c r="K19" s="474"/>
      <c r="L19" s="474"/>
      <c r="M19" s="474"/>
    </row>
    <row r="20" spans="1:13" ht="15.75" thickBot="1">
      <c r="A20" s="1138"/>
      <c r="B20" s="384"/>
      <c r="C20" s="1121"/>
      <c r="D20" s="1122"/>
      <c r="E20" s="387"/>
      <c r="F20" s="1123"/>
      <c r="G20" s="1124"/>
      <c r="H20" s="388"/>
      <c r="I20" s="391"/>
      <c r="J20" s="390"/>
      <c r="K20" s="474"/>
      <c r="L20" s="474"/>
      <c r="M20" s="474"/>
    </row>
    <row r="21" spans="1:13" ht="15.75" thickBot="1">
      <c r="A21" s="1138"/>
      <c r="B21" s="384"/>
      <c r="C21" s="1121"/>
      <c r="D21" s="1122"/>
      <c r="E21" s="387"/>
      <c r="F21" s="1123"/>
      <c r="G21" s="1124"/>
      <c r="H21" s="388"/>
      <c r="I21" s="391"/>
      <c r="J21" s="390"/>
      <c r="K21" s="474"/>
      <c r="L21" s="474"/>
      <c r="M21" s="474"/>
    </row>
    <row r="22" spans="1:13" ht="15.75" thickBot="1">
      <c r="A22" s="1138"/>
      <c r="B22" s="384"/>
      <c r="C22" s="1121"/>
      <c r="D22" s="1122"/>
      <c r="E22" s="387"/>
      <c r="F22" s="1123"/>
      <c r="G22" s="1124"/>
      <c r="H22" s="388"/>
      <c r="I22" s="391"/>
      <c r="J22" s="390"/>
      <c r="K22" s="474"/>
      <c r="L22" s="474"/>
      <c r="M22" s="474"/>
    </row>
    <row r="23" spans="1:13" ht="15.75" thickBot="1">
      <c r="A23" s="1138"/>
      <c r="B23" s="384"/>
      <c r="C23" s="1121"/>
      <c r="D23" s="1122"/>
      <c r="E23" s="387"/>
      <c r="F23" s="1123"/>
      <c r="G23" s="1124"/>
      <c r="H23" s="388"/>
      <c r="I23" s="391"/>
      <c r="J23" s="390"/>
      <c r="K23" s="474"/>
      <c r="L23" s="474"/>
      <c r="M23" s="474"/>
    </row>
    <row r="24" spans="1:13" ht="15.75" thickBot="1">
      <c r="A24" s="1138"/>
      <c r="B24" s="384"/>
      <c r="C24" s="1121"/>
      <c r="D24" s="1122"/>
      <c r="E24" s="387"/>
      <c r="F24" s="1123"/>
      <c r="G24" s="1124"/>
      <c r="H24" s="388"/>
      <c r="I24" s="391"/>
      <c r="J24" s="390"/>
      <c r="K24" s="474"/>
      <c r="L24" s="474"/>
      <c r="M24" s="474"/>
    </row>
    <row r="25" spans="1:13" ht="15.75" thickBot="1">
      <c r="A25" s="1138"/>
      <c r="B25" s="384"/>
      <c r="C25" s="1121"/>
      <c r="D25" s="1122"/>
      <c r="E25" s="387"/>
      <c r="F25" s="1123"/>
      <c r="G25" s="1124"/>
      <c r="H25" s="388"/>
      <c r="I25" s="391"/>
      <c r="J25" s="390"/>
      <c r="K25" s="474"/>
      <c r="L25" s="474"/>
      <c r="M25" s="474"/>
    </row>
    <row r="26" spans="1:13" ht="15.75" thickBot="1">
      <c r="A26" s="1138"/>
      <c r="B26" s="384"/>
      <c r="C26" s="1121"/>
      <c r="D26" s="1122"/>
      <c r="E26" s="387"/>
      <c r="F26" s="1123"/>
      <c r="G26" s="1124"/>
      <c r="H26" s="388"/>
      <c r="I26" s="391"/>
      <c r="J26" s="390"/>
      <c r="K26" s="474"/>
      <c r="L26" s="474"/>
      <c r="M26" s="474"/>
    </row>
    <row r="27" spans="1:13" ht="15.75" thickBot="1">
      <c r="A27" s="1138"/>
      <c r="B27" s="384"/>
      <c r="C27" s="1121"/>
      <c r="D27" s="1122"/>
      <c r="E27" s="387"/>
      <c r="F27" s="1123"/>
      <c r="G27" s="1124"/>
      <c r="H27" s="388"/>
      <c r="I27" s="391"/>
      <c r="J27" s="390"/>
      <c r="K27" s="474"/>
      <c r="L27" s="474"/>
      <c r="M27" s="474"/>
    </row>
    <row r="28" spans="1:13" ht="15.75" thickBot="1">
      <c r="A28" s="1138"/>
      <c r="B28" s="384"/>
      <c r="C28" s="1121"/>
      <c r="D28" s="1122"/>
      <c r="E28" s="387"/>
      <c r="F28" s="1123"/>
      <c r="G28" s="1124"/>
      <c r="H28" s="388"/>
      <c r="I28" s="391"/>
      <c r="J28" s="390"/>
      <c r="K28" s="474"/>
      <c r="L28" s="474"/>
      <c r="M28" s="474"/>
    </row>
    <row r="29" spans="1:13" ht="15.75" thickBot="1">
      <c r="A29" s="1138"/>
      <c r="B29" s="384"/>
      <c r="C29" s="1121"/>
      <c r="D29" s="1122"/>
      <c r="E29" s="419"/>
      <c r="F29" s="1123"/>
      <c r="G29" s="1124"/>
      <c r="H29" s="388"/>
      <c r="I29" s="391"/>
      <c r="J29" s="390"/>
      <c r="K29" s="474"/>
      <c r="L29" s="474"/>
      <c r="M29" s="474"/>
    </row>
    <row r="30" spans="1:13" ht="25.5" customHeight="1" thickBot="1">
      <c r="A30" s="1138"/>
      <c r="B30" s="392"/>
      <c r="C30" s="1130" t="s">
        <v>579</v>
      </c>
      <c r="D30" s="1131"/>
      <c r="E30" s="418"/>
      <c r="F30" s="1129"/>
      <c r="G30" s="1124"/>
      <c r="H30" s="388"/>
      <c r="I30" s="391"/>
      <c r="J30" s="390"/>
      <c r="K30" s="474"/>
      <c r="L30" s="474"/>
      <c r="M30" s="474"/>
    </row>
    <row r="31" spans="1:13" ht="16.5" thickBot="1">
      <c r="A31" s="1138"/>
      <c r="B31" s="478" t="s">
        <v>580</v>
      </c>
      <c r="C31" s="1127" t="s">
        <v>581</v>
      </c>
      <c r="D31" s="1128"/>
      <c r="E31" s="421"/>
      <c r="F31" s="1129"/>
      <c r="G31" s="1124"/>
      <c r="H31" s="386"/>
      <c r="I31" s="386"/>
      <c r="J31" s="386"/>
      <c r="K31" s="474"/>
      <c r="L31" s="474"/>
      <c r="M31" s="474"/>
    </row>
    <row r="32" spans="1:13" ht="32.25" customHeight="1" thickBot="1">
      <c r="A32" s="1138"/>
      <c r="B32" s="478" t="s">
        <v>582</v>
      </c>
      <c r="C32" s="1127" t="s">
        <v>583</v>
      </c>
      <c r="D32" s="1128"/>
      <c r="E32" s="422"/>
      <c r="F32" s="1129"/>
      <c r="G32" s="1124"/>
      <c r="H32" s="386"/>
      <c r="I32" s="386"/>
      <c r="J32" s="386"/>
      <c r="K32" s="474"/>
      <c r="L32" s="474"/>
      <c r="M32" s="474"/>
    </row>
    <row r="33" spans="1:13" ht="30" customHeight="1" thickBot="1">
      <c r="A33" s="1138"/>
      <c r="B33" s="478" t="s">
        <v>584</v>
      </c>
      <c r="C33" s="1127" t="s">
        <v>585</v>
      </c>
      <c r="D33" s="1128"/>
      <c r="E33" s="422"/>
      <c r="F33" s="1129"/>
      <c r="G33" s="1124"/>
      <c r="H33" s="386"/>
      <c r="I33" s="386"/>
      <c r="J33" s="386"/>
      <c r="K33" s="474"/>
      <c r="L33" s="474"/>
      <c r="M33" s="474"/>
    </row>
    <row r="34" spans="1:13" ht="16.5" thickBot="1">
      <c r="A34" s="1138"/>
      <c r="B34" s="478" t="s">
        <v>586</v>
      </c>
      <c r="C34" s="1127" t="s">
        <v>587</v>
      </c>
      <c r="D34" s="1128"/>
      <c r="E34" s="422"/>
      <c r="F34" s="1129"/>
      <c r="G34" s="1124"/>
      <c r="H34" s="386"/>
      <c r="I34" s="386"/>
      <c r="J34" s="386"/>
      <c r="K34" s="474"/>
      <c r="L34" s="474"/>
      <c r="M34" s="474"/>
    </row>
    <row r="35" spans="1:13" ht="16.5" thickBot="1">
      <c r="A35" s="1138"/>
      <c r="B35" s="478" t="s">
        <v>588</v>
      </c>
      <c r="C35" s="1127" t="s">
        <v>589</v>
      </c>
      <c r="D35" s="1128"/>
      <c r="E35" s="422"/>
      <c r="F35" s="1129"/>
      <c r="G35" s="1124"/>
      <c r="H35" s="386"/>
      <c r="I35" s="386"/>
      <c r="J35" s="386"/>
      <c r="K35" s="474"/>
      <c r="L35" s="474"/>
      <c r="M35" s="474"/>
    </row>
    <row r="36" spans="1:13" ht="15.75" thickBot="1">
      <c r="A36" s="1138"/>
      <c r="B36" s="478" t="s">
        <v>590</v>
      </c>
      <c r="C36" s="1127" t="s">
        <v>591</v>
      </c>
      <c r="D36" s="1128"/>
      <c r="E36" s="423"/>
      <c r="F36" s="1129"/>
      <c r="G36" s="1124"/>
      <c r="H36" s="388"/>
      <c r="I36" s="391"/>
      <c r="J36" s="390"/>
      <c r="K36" s="474"/>
      <c r="L36" s="474"/>
      <c r="M36" s="474"/>
    </row>
    <row r="37" spans="1:13" ht="15.75" thickBot="1">
      <c r="A37" s="1138"/>
      <c r="B37" s="477" t="s">
        <v>592</v>
      </c>
      <c r="C37" s="1127" t="s">
        <v>593</v>
      </c>
      <c r="D37" s="1128"/>
      <c r="E37" s="423"/>
      <c r="F37" s="1134"/>
      <c r="G37" s="1120"/>
      <c r="H37" s="388"/>
      <c r="I37" s="395"/>
      <c r="J37" s="390"/>
      <c r="K37" s="474"/>
      <c r="L37" s="474"/>
      <c r="M37" s="474"/>
    </row>
    <row r="38" spans="1:13" ht="15.75" thickBot="1">
      <c r="A38" s="1138"/>
      <c r="B38" s="384"/>
      <c r="C38" s="1132"/>
      <c r="D38" s="1133"/>
      <c r="E38" s="423"/>
      <c r="F38" s="1129"/>
      <c r="G38" s="1124"/>
      <c r="H38" s="388"/>
      <c r="I38" s="391"/>
      <c r="J38" s="390"/>
      <c r="K38" s="474"/>
      <c r="L38" s="474"/>
      <c r="M38" s="474"/>
    </row>
    <row r="39" spans="1:13" ht="15.75" thickBot="1">
      <c r="A39" s="1138"/>
      <c r="B39" s="384"/>
      <c r="C39" s="1132"/>
      <c r="D39" s="1133"/>
      <c r="E39" s="423"/>
      <c r="F39" s="1129"/>
      <c r="G39" s="1124"/>
      <c r="H39" s="388"/>
      <c r="I39" s="391"/>
      <c r="J39" s="390"/>
      <c r="K39" s="474"/>
      <c r="L39" s="474"/>
      <c r="M39" s="474"/>
    </row>
    <row r="40" spans="1:13" ht="16.5" thickBot="1">
      <c r="A40" s="1138"/>
      <c r="B40" s="384"/>
      <c r="C40" s="1132"/>
      <c r="D40" s="1133"/>
      <c r="E40" s="422"/>
      <c r="F40" s="1129"/>
      <c r="G40" s="1124"/>
      <c r="H40" s="386"/>
      <c r="I40" s="386"/>
      <c r="J40" s="386"/>
      <c r="K40" s="474"/>
      <c r="L40" s="474"/>
      <c r="M40" s="474"/>
    </row>
    <row r="41" spans="1:13" ht="25.5" customHeight="1" thickBot="1">
      <c r="A41" s="1138"/>
      <c r="B41" s="384"/>
      <c r="C41" s="1132"/>
      <c r="D41" s="1133"/>
      <c r="E41" s="423"/>
      <c r="F41" s="1129"/>
      <c r="G41" s="1124"/>
      <c r="H41" s="388"/>
      <c r="I41" s="391"/>
      <c r="J41" s="390"/>
      <c r="K41" s="474"/>
      <c r="L41" s="474"/>
      <c r="M41" s="474"/>
    </row>
    <row r="42" spans="1:13" ht="15.75" thickBot="1">
      <c r="A42" s="1138"/>
      <c r="B42" s="384"/>
      <c r="C42" s="1132"/>
      <c r="D42" s="1133"/>
      <c r="E42" s="423"/>
      <c r="F42" s="1129"/>
      <c r="G42" s="1124"/>
      <c r="H42" s="388"/>
      <c r="I42" s="391"/>
      <c r="J42" s="390"/>
      <c r="K42" s="474"/>
      <c r="L42" s="474"/>
      <c r="M42" s="474"/>
    </row>
    <row r="43" spans="1:13" ht="15.75" thickBot="1">
      <c r="A43" s="1138"/>
      <c r="B43" s="384"/>
      <c r="C43" s="1132"/>
      <c r="D43" s="1133"/>
      <c r="E43" s="423"/>
      <c r="F43" s="1129"/>
      <c r="G43" s="1124"/>
      <c r="H43" s="388"/>
      <c r="I43" s="391"/>
      <c r="J43" s="390"/>
      <c r="K43" s="474"/>
      <c r="L43" s="474"/>
      <c r="M43" s="474"/>
    </row>
    <row r="44" spans="1:13" ht="15.75" thickBot="1">
      <c r="A44" s="1138"/>
      <c r="B44" s="396"/>
      <c r="C44" s="1132"/>
      <c r="D44" s="1133"/>
      <c r="E44" s="423"/>
      <c r="F44" s="1129"/>
      <c r="G44" s="1124"/>
      <c r="H44" s="388"/>
      <c r="I44" s="391"/>
      <c r="J44" s="390"/>
      <c r="K44" s="474"/>
      <c r="L44" s="474"/>
      <c r="M44" s="474"/>
    </row>
    <row r="45" spans="1:13" ht="15.75" thickBot="1">
      <c r="A45" s="1138"/>
      <c r="B45" s="396"/>
      <c r="C45" s="1132"/>
      <c r="D45" s="1133"/>
      <c r="E45" s="423"/>
      <c r="F45" s="1129"/>
      <c r="G45" s="1124"/>
      <c r="H45" s="388"/>
      <c r="I45" s="391"/>
      <c r="J45" s="390"/>
      <c r="K45" s="474"/>
      <c r="L45" s="474"/>
      <c r="M45" s="474"/>
    </row>
    <row r="46" spans="1:13" ht="15.75" thickBot="1">
      <c r="A46" s="1138"/>
      <c r="B46" s="396"/>
      <c r="C46" s="1132"/>
      <c r="D46" s="1133"/>
      <c r="E46" s="423"/>
      <c r="F46" s="1129"/>
      <c r="G46" s="1124"/>
      <c r="H46" s="388"/>
      <c r="I46" s="391"/>
      <c r="J46" s="390"/>
      <c r="K46" s="474"/>
      <c r="L46" s="474"/>
      <c r="M46" s="474"/>
    </row>
    <row r="47" spans="1:13" ht="15.75" thickBot="1">
      <c r="A47" s="1138"/>
      <c r="B47" s="396"/>
      <c r="C47" s="1132"/>
      <c r="D47" s="1133"/>
      <c r="E47" s="423"/>
      <c r="F47" s="1129"/>
      <c r="G47" s="1124"/>
      <c r="H47" s="388"/>
      <c r="I47" s="391"/>
      <c r="J47" s="390"/>
      <c r="K47" s="474"/>
      <c r="L47" s="474"/>
      <c r="M47" s="474"/>
    </row>
    <row r="48" spans="1:13" ht="25.5" customHeight="1" thickBot="1">
      <c r="A48" s="1138"/>
      <c r="B48" s="396"/>
      <c r="C48" s="1132"/>
      <c r="D48" s="1133"/>
      <c r="E48" s="423"/>
      <c r="F48" s="1129"/>
      <c r="G48" s="1124"/>
      <c r="H48" s="388"/>
      <c r="I48" s="391"/>
      <c r="J48" s="390"/>
      <c r="K48" s="474"/>
      <c r="L48" s="474"/>
      <c r="M48" s="474"/>
    </row>
    <row r="49" spans="1:13" ht="15.75" thickBot="1">
      <c r="A49" s="1138"/>
      <c r="B49" s="396"/>
      <c r="C49" s="1132"/>
      <c r="D49" s="1133"/>
      <c r="E49" s="423"/>
      <c r="F49" s="1129"/>
      <c r="G49" s="1124"/>
      <c r="H49" s="388"/>
      <c r="I49" s="391"/>
      <c r="J49" s="390"/>
      <c r="K49" s="474"/>
      <c r="L49" s="474"/>
      <c r="M49" s="474"/>
    </row>
    <row r="50" spans="1:13" ht="25.5" customHeight="1" thickBot="1">
      <c r="A50" s="1138"/>
      <c r="B50" s="396"/>
      <c r="C50" s="1132"/>
      <c r="D50" s="1133"/>
      <c r="E50" s="423"/>
      <c r="F50" s="1129"/>
      <c r="G50" s="1124"/>
      <c r="H50" s="388"/>
      <c r="I50" s="391"/>
      <c r="J50" s="390"/>
      <c r="K50" s="474"/>
      <c r="L50" s="474"/>
      <c r="M50" s="474"/>
    </row>
    <row r="51" spans="1:13" ht="25.5" customHeight="1" thickBot="1">
      <c r="A51" s="1138"/>
      <c r="B51" s="396"/>
      <c r="C51" s="1132"/>
      <c r="D51" s="1133"/>
      <c r="E51" s="422"/>
      <c r="F51" s="1129"/>
      <c r="G51" s="1124"/>
      <c r="H51" s="386"/>
      <c r="I51" s="386"/>
      <c r="J51" s="386"/>
      <c r="K51" s="474"/>
      <c r="L51" s="474"/>
      <c r="M51" s="474"/>
    </row>
    <row r="52" spans="1:13" ht="25.5" customHeight="1" thickBot="1">
      <c r="A52" s="1138"/>
      <c r="B52" s="396"/>
      <c r="C52" s="1132"/>
      <c r="D52" s="1133"/>
      <c r="E52" s="423"/>
      <c r="F52" s="1129"/>
      <c r="G52" s="1124"/>
      <c r="H52" s="388"/>
      <c r="I52" s="391"/>
      <c r="J52" s="390"/>
      <c r="K52" s="474"/>
      <c r="L52" s="474"/>
      <c r="M52" s="474"/>
    </row>
    <row r="53" spans="1:13" ht="15.75" thickBot="1">
      <c r="A53" s="1138"/>
      <c r="B53" s="396"/>
      <c r="C53" s="1132"/>
      <c r="D53" s="1133"/>
      <c r="E53" s="423"/>
      <c r="F53" s="1129"/>
      <c r="G53" s="1124"/>
      <c r="H53" s="388"/>
      <c r="I53" s="391"/>
      <c r="J53" s="390"/>
      <c r="K53" s="474"/>
      <c r="L53" s="474"/>
      <c r="M53" s="474"/>
    </row>
    <row r="54" spans="1:13" ht="15.75" thickBot="1">
      <c r="A54" s="1138"/>
      <c r="B54" s="478"/>
      <c r="C54" s="1132"/>
      <c r="D54" s="1133"/>
      <c r="E54" s="424"/>
      <c r="F54" s="1129"/>
      <c r="G54" s="1124"/>
      <c r="H54" s="388"/>
      <c r="I54" s="391"/>
      <c r="J54" s="390"/>
      <c r="K54" s="474"/>
      <c r="L54" s="474"/>
      <c r="M54" s="474"/>
    </row>
    <row r="55" spans="1:13" ht="25.5" customHeight="1" thickBot="1">
      <c r="A55" s="1139"/>
      <c r="B55" s="399"/>
      <c r="C55" s="1140" t="s">
        <v>594</v>
      </c>
      <c r="D55" s="1141"/>
      <c r="E55" s="420"/>
      <c r="F55" s="1142"/>
      <c r="G55" s="1143"/>
      <c r="H55" s="400"/>
      <c r="I55" s="401"/>
      <c r="J55" s="402"/>
      <c r="K55" s="474"/>
      <c r="L55" s="474"/>
      <c r="M55" s="474"/>
    </row>
    <row r="56" spans="1:13" ht="35.25" customHeight="1" thickTop="1" thickBot="1">
      <c r="A56" s="1144" t="s">
        <v>595</v>
      </c>
      <c r="B56" s="403" t="s">
        <v>596</v>
      </c>
      <c r="C56" s="1152" t="s">
        <v>597</v>
      </c>
      <c r="D56" s="1153"/>
      <c r="E56" s="1154"/>
      <c r="F56" s="1147"/>
      <c r="G56" s="1148"/>
      <c r="H56" s="404"/>
      <c r="I56" s="405"/>
      <c r="J56" s="406"/>
      <c r="K56" s="474"/>
      <c r="L56" s="474"/>
      <c r="M56" s="474"/>
    </row>
    <row r="57" spans="1:13" ht="16.5" thickBot="1">
      <c r="A57" s="1145"/>
      <c r="B57" s="407"/>
      <c r="C57" s="1132" t="s">
        <v>595</v>
      </c>
      <c r="D57" s="1133"/>
      <c r="E57" s="393"/>
      <c r="F57" s="1123"/>
      <c r="G57" s="1124"/>
      <c r="H57" s="386"/>
      <c r="I57" s="386"/>
      <c r="J57" s="386"/>
      <c r="K57" s="474"/>
      <c r="L57" s="474"/>
      <c r="M57" s="474"/>
    </row>
    <row r="58" spans="1:13" ht="15.75" thickBot="1">
      <c r="A58" s="1145"/>
      <c r="B58" s="407"/>
      <c r="C58" s="1132"/>
      <c r="D58" s="1133"/>
      <c r="E58" s="394"/>
      <c r="F58" s="1123"/>
      <c r="G58" s="1124"/>
      <c r="H58" s="408"/>
      <c r="I58" s="409"/>
      <c r="J58" s="410"/>
      <c r="K58" s="474"/>
      <c r="L58" s="474"/>
      <c r="M58" s="474"/>
    </row>
    <row r="59" spans="1:13" ht="15.75" thickBot="1">
      <c r="A59" s="1145"/>
      <c r="B59" s="407"/>
      <c r="C59" s="1132"/>
      <c r="D59" s="1133"/>
      <c r="E59" s="394"/>
      <c r="F59" s="1123"/>
      <c r="G59" s="1124"/>
      <c r="H59" s="408"/>
      <c r="I59" s="409"/>
      <c r="J59" s="410"/>
      <c r="K59" s="474"/>
      <c r="L59" s="474"/>
      <c r="M59" s="474"/>
    </row>
    <row r="60" spans="1:13" ht="15.75" thickBot="1">
      <c r="A60" s="1146"/>
      <c r="B60" s="411"/>
      <c r="C60" s="1140" t="s">
        <v>598</v>
      </c>
      <c r="D60" s="1141"/>
      <c r="E60" s="417"/>
      <c r="F60" s="1163"/>
      <c r="G60" s="1164"/>
      <c r="H60" s="400"/>
      <c r="I60" s="401"/>
      <c r="J60" s="402"/>
      <c r="K60" s="474"/>
      <c r="L60" s="474"/>
      <c r="M60" s="474"/>
    </row>
    <row r="61" spans="1:13" ht="17.25" thickTop="1" thickBot="1">
      <c r="A61" s="425"/>
      <c r="B61" s="426"/>
      <c r="C61" s="1165" t="s">
        <v>599</v>
      </c>
      <c r="D61" s="1166"/>
      <c r="E61" s="427"/>
      <c r="F61" s="1166"/>
      <c r="G61" s="1167"/>
      <c r="H61" s="428"/>
      <c r="I61" s="429"/>
      <c r="J61" s="430"/>
      <c r="K61" s="474"/>
      <c r="L61" s="474"/>
      <c r="M61" s="474"/>
    </row>
    <row r="62" spans="1:13" ht="21" customHeight="1">
      <c r="A62" s="1168" t="s">
        <v>600</v>
      </c>
      <c r="B62" s="1169"/>
      <c r="C62" s="1169"/>
      <c r="D62" s="1169"/>
      <c r="E62" s="1169"/>
      <c r="F62" s="1169"/>
      <c r="G62" s="1169"/>
      <c r="H62" s="1169"/>
      <c r="I62" s="1169"/>
      <c r="J62" s="1170"/>
      <c r="K62" s="474"/>
      <c r="L62" s="474"/>
      <c r="M62" s="474"/>
    </row>
    <row r="63" spans="1:13" ht="15">
      <c r="A63" s="1171" t="s">
        <v>601</v>
      </c>
      <c r="B63" s="1172"/>
      <c r="C63" s="1172"/>
      <c r="D63" s="1172"/>
      <c r="E63" s="1172"/>
      <c r="F63" s="1172"/>
      <c r="G63" s="1172"/>
      <c r="H63" s="1172"/>
      <c r="I63" s="1172"/>
      <c r="J63" s="1173"/>
      <c r="K63" s="474"/>
      <c r="L63" s="474"/>
      <c r="M63" s="474"/>
    </row>
    <row r="64" spans="1:13" ht="15.75" thickBot="1">
      <c r="A64" s="1174"/>
      <c r="B64" s="1157"/>
      <c r="C64" s="1157"/>
      <c r="D64" s="1157"/>
      <c r="E64" s="431"/>
      <c r="F64" s="431"/>
      <c r="G64" s="1157"/>
      <c r="H64" s="1157"/>
      <c r="I64" s="1157"/>
      <c r="J64" s="412"/>
      <c r="K64" s="474"/>
      <c r="L64" s="474"/>
      <c r="M64" s="474"/>
    </row>
    <row r="65" spans="1:13" ht="15">
      <c r="A65" s="413" t="s">
        <v>602</v>
      </c>
      <c r="B65" s="432"/>
      <c r="C65" s="1225"/>
      <c r="D65" s="1225"/>
      <c r="E65" s="433"/>
      <c r="F65" s="433"/>
      <c r="G65" s="433" t="s">
        <v>603</v>
      </c>
      <c r="H65" s="433"/>
      <c r="I65" s="433"/>
      <c r="J65" s="412"/>
      <c r="K65" s="474"/>
      <c r="L65" s="474"/>
      <c r="M65" s="380"/>
    </row>
    <row r="66" spans="1:13" ht="15.75" thickBot="1">
      <c r="A66" s="1155"/>
      <c r="B66" s="1156"/>
      <c r="C66" s="1156"/>
      <c r="D66" s="1156"/>
      <c r="E66" s="434"/>
      <c r="F66" s="434"/>
      <c r="G66" s="1157"/>
      <c r="H66" s="1157"/>
      <c r="I66" s="1157"/>
      <c r="J66" s="412"/>
      <c r="K66" s="474"/>
      <c r="L66" s="474"/>
      <c r="M66" s="474"/>
    </row>
    <row r="67" spans="1:13" ht="15">
      <c r="A67" s="413" t="s">
        <v>604</v>
      </c>
      <c r="B67" s="432"/>
      <c r="C67" s="1225"/>
      <c r="D67" s="1225"/>
      <c r="E67" s="433"/>
      <c r="F67" s="433"/>
      <c r="G67" s="433" t="s">
        <v>605</v>
      </c>
      <c r="H67" s="433"/>
      <c r="I67" s="433"/>
      <c r="J67" s="414" t="s">
        <v>606</v>
      </c>
      <c r="K67" s="474"/>
      <c r="L67" s="380"/>
      <c r="M67" s="474"/>
    </row>
    <row r="68" spans="1:13" ht="16.5" thickBot="1">
      <c r="A68" s="1158"/>
      <c r="B68" s="1159"/>
      <c r="C68" s="1159"/>
      <c r="D68" s="475"/>
      <c r="E68" s="1160"/>
      <c r="F68" s="1160"/>
      <c r="G68" s="1160"/>
      <c r="H68" s="1161"/>
      <c r="I68" s="1161"/>
      <c r="J68" s="1162"/>
      <c r="K68" s="474"/>
      <c r="L68" s="474"/>
      <c r="M68" s="474"/>
    </row>
    <row r="69" spans="1:13" ht="15">
      <c r="A69" s="415"/>
      <c r="B69" s="379"/>
      <c r="C69" s="415"/>
      <c r="D69" s="415"/>
      <c r="E69" s="415"/>
      <c r="F69" s="415"/>
      <c r="G69" s="415"/>
      <c r="H69" s="415"/>
      <c r="I69" s="415"/>
      <c r="J69" s="415"/>
      <c r="K69" s="474"/>
      <c r="L69" s="474"/>
      <c r="M69" s="474"/>
    </row>
    <row r="70" spans="1:13" ht="15">
      <c r="A70" s="474"/>
      <c r="B70" s="416"/>
      <c r="C70" s="1226"/>
      <c r="D70" s="1226"/>
      <c r="E70" s="474"/>
      <c r="F70" s="1226"/>
      <c r="G70" s="1226"/>
      <c r="H70" s="474"/>
      <c r="I70" s="474"/>
      <c r="J70" s="474"/>
      <c r="K70" s="474"/>
      <c r="L70" s="474"/>
      <c r="M70" s="474"/>
    </row>
    <row r="71" spans="1:13" ht="15">
      <c r="A71" s="474"/>
      <c r="B71" s="416"/>
      <c r="C71" s="1226"/>
      <c r="D71" s="1226"/>
      <c r="E71" s="474"/>
      <c r="F71" s="1226"/>
      <c r="G71" s="1226"/>
      <c r="H71" s="474"/>
      <c r="I71" s="474"/>
      <c r="J71" s="474"/>
      <c r="K71" s="474"/>
      <c r="L71" s="474"/>
      <c r="M71" s="474"/>
    </row>
    <row r="72" spans="1:13" ht="15">
      <c r="A72" s="474"/>
      <c r="B72" s="416"/>
      <c r="C72" s="1226"/>
      <c r="D72" s="1226"/>
      <c r="E72" s="474"/>
      <c r="F72" s="1226"/>
      <c r="G72" s="1226"/>
      <c r="H72" s="474"/>
      <c r="I72" s="474"/>
      <c r="J72" s="474"/>
      <c r="K72" s="474"/>
      <c r="L72" s="474"/>
      <c r="M72" s="474"/>
    </row>
    <row r="73" spans="1:13" ht="15">
      <c r="A73" s="474"/>
      <c r="B73" s="416"/>
      <c r="C73" s="1226"/>
      <c r="D73" s="1226"/>
      <c r="E73" s="474"/>
      <c r="F73" s="1226"/>
      <c r="G73" s="1226"/>
      <c r="H73" s="474"/>
      <c r="I73" s="474"/>
      <c r="J73" s="474"/>
      <c r="K73" s="474"/>
      <c r="L73" s="474"/>
      <c r="M73" s="474"/>
    </row>
  </sheetData>
  <mergeCells count="148">
    <mergeCell ref="C73:D73"/>
    <mergeCell ref="F73:G73"/>
    <mergeCell ref="C14:E14"/>
    <mergeCell ref="C56:E56"/>
    <mergeCell ref="C70:D70"/>
    <mergeCell ref="F70:G70"/>
    <mergeCell ref="C71:D71"/>
    <mergeCell ref="F71:G71"/>
    <mergeCell ref="C72:D72"/>
    <mergeCell ref="F72:G72"/>
    <mergeCell ref="C65:D65"/>
    <mergeCell ref="A66:D66"/>
    <mergeCell ref="G66:I66"/>
    <mergeCell ref="C67:D67"/>
    <mergeCell ref="A68:C68"/>
    <mergeCell ref="E68:G68"/>
    <mergeCell ref="H68:J68"/>
    <mergeCell ref="F60:G60"/>
    <mergeCell ref="C61:D61"/>
    <mergeCell ref="F61:G61"/>
    <mergeCell ref="A62:J62"/>
    <mergeCell ref="A63:J63"/>
    <mergeCell ref="A64:D64"/>
    <mergeCell ref="G64:I64"/>
    <mergeCell ref="A56:A60"/>
    <mergeCell ref="F56:G56"/>
    <mergeCell ref="C57:D57"/>
    <mergeCell ref="F57:G57"/>
    <mergeCell ref="C58:D58"/>
    <mergeCell ref="F58:G58"/>
    <mergeCell ref="C59:D59"/>
    <mergeCell ref="F59:G59"/>
    <mergeCell ref="C60:D60"/>
    <mergeCell ref="C53:D53"/>
    <mergeCell ref="F53:G53"/>
    <mergeCell ref="K12:K13"/>
    <mergeCell ref="L12:L13"/>
    <mergeCell ref="M12:M13"/>
    <mergeCell ref="A14:A55"/>
    <mergeCell ref="C54:D54"/>
    <mergeCell ref="F54:G54"/>
    <mergeCell ref="C55:D55"/>
    <mergeCell ref="F55:G55"/>
    <mergeCell ref="C50:D50"/>
    <mergeCell ref="F50:G50"/>
    <mergeCell ref="C51:D51"/>
    <mergeCell ref="F51:G51"/>
    <mergeCell ref="C52:D52"/>
    <mergeCell ref="F52:G52"/>
    <mergeCell ref="C47:D47"/>
    <mergeCell ref="F47:G47"/>
    <mergeCell ref="C48:D48"/>
    <mergeCell ref="F48:G48"/>
    <mergeCell ref="C49:D49"/>
    <mergeCell ref="F49:G49"/>
    <mergeCell ref="C44:D44"/>
    <mergeCell ref="F44:G44"/>
    <mergeCell ref="C45:D45"/>
    <mergeCell ref="F45:G45"/>
    <mergeCell ref="C46:D46"/>
    <mergeCell ref="F46:G46"/>
    <mergeCell ref="C41:D41"/>
    <mergeCell ref="F41:G41"/>
    <mergeCell ref="C42:D42"/>
    <mergeCell ref="F42:G42"/>
    <mergeCell ref="C43:D43"/>
    <mergeCell ref="F43:G43"/>
    <mergeCell ref="C38:D38"/>
    <mergeCell ref="F38:G38"/>
    <mergeCell ref="C39:D39"/>
    <mergeCell ref="F39:G39"/>
    <mergeCell ref="C40:D40"/>
    <mergeCell ref="F40:G40"/>
    <mergeCell ref="C35:D35"/>
    <mergeCell ref="F35:G35"/>
    <mergeCell ref="C36:D36"/>
    <mergeCell ref="F36:G36"/>
    <mergeCell ref="C37:D37"/>
    <mergeCell ref="F37:G37"/>
    <mergeCell ref="C32:D32"/>
    <mergeCell ref="F32:G32"/>
    <mergeCell ref="C33:D33"/>
    <mergeCell ref="F33:G33"/>
    <mergeCell ref="C34:D34"/>
    <mergeCell ref="F34:G34"/>
    <mergeCell ref="C29:D29"/>
    <mergeCell ref="F29:G29"/>
    <mergeCell ref="C30:D30"/>
    <mergeCell ref="F30:G30"/>
    <mergeCell ref="C31:D31"/>
    <mergeCell ref="F31:G31"/>
    <mergeCell ref="C26:D26"/>
    <mergeCell ref="F26:G26"/>
    <mergeCell ref="C27:D27"/>
    <mergeCell ref="F27:G27"/>
    <mergeCell ref="C28:D28"/>
    <mergeCell ref="F28:G28"/>
    <mergeCell ref="C23:D23"/>
    <mergeCell ref="F23:G23"/>
    <mergeCell ref="C24:D24"/>
    <mergeCell ref="F24:G24"/>
    <mergeCell ref="C25:D25"/>
    <mergeCell ref="F25:G25"/>
    <mergeCell ref="C21:D21"/>
    <mergeCell ref="F21:G21"/>
    <mergeCell ref="C22:D22"/>
    <mergeCell ref="F22:G22"/>
    <mergeCell ref="C17:D17"/>
    <mergeCell ref="F17:G17"/>
    <mergeCell ref="C18:D18"/>
    <mergeCell ref="F18:G18"/>
    <mergeCell ref="C19:D19"/>
    <mergeCell ref="F19:G19"/>
    <mergeCell ref="F14:G14"/>
    <mergeCell ref="C15:D15"/>
    <mergeCell ref="F15:G15"/>
    <mergeCell ref="C16:D16"/>
    <mergeCell ref="F16:G16"/>
    <mergeCell ref="C11:D11"/>
    <mergeCell ref="F11:G11"/>
    <mergeCell ref="C20:D20"/>
    <mergeCell ref="F20:G20"/>
    <mergeCell ref="A12:A13"/>
    <mergeCell ref="B12:B13"/>
    <mergeCell ref="C12:D13"/>
    <mergeCell ref="E12:E13"/>
    <mergeCell ref="F12:G12"/>
    <mergeCell ref="F13:G13"/>
    <mergeCell ref="D8:E8"/>
    <mergeCell ref="I8:J8"/>
    <mergeCell ref="C9:D9"/>
    <mergeCell ref="A10:J10"/>
    <mergeCell ref="H12:H13"/>
    <mergeCell ref="I12:I13"/>
    <mergeCell ref="J12:J13"/>
    <mergeCell ref="A5:C6"/>
    <mergeCell ref="D5:E6"/>
    <mergeCell ref="G5:H5"/>
    <mergeCell ref="I5:J5"/>
    <mergeCell ref="G6:H7"/>
    <mergeCell ref="I6:J7"/>
    <mergeCell ref="D7:E7"/>
    <mergeCell ref="A1:J1"/>
    <mergeCell ref="A2:J2"/>
    <mergeCell ref="D3:E3"/>
    <mergeCell ref="G3:H4"/>
    <mergeCell ref="I3:J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Q53"/>
  <sheetViews>
    <sheetView showGridLines="0" topLeftCell="A17" zoomScale="80" zoomScaleNormal="80" zoomScaleSheetLayoutView="75" workbookViewId="0">
      <selection activeCell="U39" sqref="U39"/>
    </sheetView>
  </sheetViews>
  <sheetFormatPr defaultColWidth="9.140625" defaultRowHeight="12.75"/>
  <cols>
    <col min="1" max="1" width="6.42578125" style="5" customWidth="1"/>
    <col min="2" max="2" width="54.7109375" style="5" customWidth="1"/>
    <col min="3" max="3" width="1.28515625" style="5" customWidth="1"/>
    <col min="4" max="4" width="15.7109375" style="5" customWidth="1"/>
    <col min="5" max="5" width="1.5703125" style="5" customWidth="1"/>
    <col min="6" max="6" width="15.7109375" style="5" customWidth="1"/>
    <col min="7" max="7" width="1.42578125" style="5" customWidth="1"/>
    <col min="8" max="8" width="15.7109375" style="5" customWidth="1"/>
    <col min="9" max="9" width="1.140625" style="5" customWidth="1"/>
    <col min="10" max="10" width="15.7109375" style="5" customWidth="1"/>
    <col min="11" max="11" width="1.140625" style="5" customWidth="1"/>
    <col min="12" max="16" width="9.140625" style="5"/>
    <col min="17" max="17" width="10.42578125" style="5" bestFit="1" customWidth="1"/>
    <col min="18" max="16384" width="9.140625" style="5"/>
  </cols>
  <sheetData>
    <row r="1" spans="1:14" s="12" customFormat="1" ht="15">
      <c r="A1" s="5" t="s">
        <v>22</v>
      </c>
      <c r="B1" s="2"/>
      <c r="C1" s="2"/>
      <c r="D1" s="2"/>
      <c r="E1" s="2"/>
      <c r="F1" s="2"/>
      <c r="G1" s="2"/>
      <c r="H1" s="2"/>
      <c r="I1" s="2"/>
      <c r="J1" s="2"/>
      <c r="K1" s="2"/>
      <c r="L1" s="325" t="s">
        <v>23</v>
      </c>
      <c r="M1" s="2"/>
      <c r="N1" s="2"/>
    </row>
    <row r="2" spans="1:14" customFormat="1" ht="6" customHeight="1">
      <c r="B2" s="177"/>
    </row>
    <row r="3" spans="1:14" ht="24.75" customHeight="1">
      <c r="A3" s="1175" t="s">
        <v>607</v>
      </c>
      <c r="B3" s="1175"/>
      <c r="C3" s="1175"/>
      <c r="D3" s="1175"/>
      <c r="E3" s="1175"/>
      <c r="F3" s="1175"/>
      <c r="G3" s="1175"/>
      <c r="H3" s="1175"/>
      <c r="I3" s="1175"/>
      <c r="J3" s="1175"/>
      <c r="K3" s="369"/>
    </row>
    <row r="4" spans="1:14" ht="14.25" customHeight="1">
      <c r="A4" s="34"/>
      <c r="B4" s="485"/>
      <c r="C4" s="485"/>
      <c r="D4" s="485"/>
      <c r="E4" s="485"/>
      <c r="F4" s="485"/>
      <c r="G4" s="485"/>
      <c r="H4" s="485"/>
      <c r="I4" s="485"/>
      <c r="J4" s="485"/>
      <c r="K4" s="369"/>
    </row>
    <row r="5" spans="1:14" ht="39" customHeight="1">
      <c r="A5" s="1177" t="s">
        <v>608</v>
      </c>
      <c r="B5" s="1177"/>
      <c r="C5" s="1177"/>
      <c r="D5" s="1177"/>
      <c r="E5" s="1177"/>
      <c r="F5" s="1177"/>
      <c r="G5" s="1177"/>
      <c r="H5" s="1177"/>
      <c r="I5" s="1177"/>
      <c r="J5" s="1177"/>
      <c r="K5" s="369"/>
    </row>
    <row r="6" spans="1:14" ht="27.75" customHeight="1">
      <c r="A6" s="1178"/>
      <c r="B6" s="1178"/>
      <c r="C6" s="1178"/>
      <c r="D6" s="1178"/>
      <c r="E6" s="1178"/>
      <c r="F6" s="1178"/>
      <c r="G6" s="1178"/>
      <c r="H6" s="1178"/>
      <c r="I6" s="1178"/>
      <c r="J6" s="1178"/>
      <c r="K6" s="111"/>
    </row>
    <row r="7" spans="1:14" ht="15.75">
      <c r="A7" s="24"/>
      <c r="B7" s="59"/>
      <c r="C7" s="6"/>
      <c r="D7" s="65" t="s">
        <v>609</v>
      </c>
      <c r="E7" s="22"/>
      <c r="F7" s="65" t="s">
        <v>610</v>
      </c>
      <c r="G7" s="22"/>
      <c r="H7" s="65" t="s">
        <v>611</v>
      </c>
      <c r="I7" s="22"/>
      <c r="J7" s="65" t="s">
        <v>612</v>
      </c>
      <c r="K7" s="80"/>
    </row>
    <row r="8" spans="1:14" ht="28.5" customHeight="1">
      <c r="A8" s="24"/>
      <c r="B8" s="59"/>
      <c r="C8" s="6"/>
      <c r="D8" s="66" t="s">
        <v>613</v>
      </c>
      <c r="E8" s="22"/>
      <c r="F8" s="66" t="s">
        <v>614</v>
      </c>
      <c r="G8" s="22"/>
      <c r="H8" s="68" t="s">
        <v>615</v>
      </c>
      <c r="I8" s="22"/>
      <c r="J8" s="66" t="s">
        <v>616</v>
      </c>
      <c r="K8" s="72"/>
    </row>
    <row r="9" spans="1:14" ht="15.75">
      <c r="A9" s="25"/>
      <c r="B9" s="60"/>
      <c r="C9" s="26"/>
      <c r="D9" s="67" t="s">
        <v>617</v>
      </c>
      <c r="E9" s="54"/>
      <c r="F9" s="67" t="s">
        <v>618</v>
      </c>
      <c r="G9" s="22"/>
      <c r="H9" s="67" t="s">
        <v>619</v>
      </c>
      <c r="I9" s="45"/>
      <c r="J9" s="67" t="s">
        <v>620</v>
      </c>
      <c r="K9" s="73"/>
    </row>
    <row r="10" spans="1:14" s="112" customFormat="1" ht="25.5" customHeight="1">
      <c r="A10" s="352" t="s">
        <v>621</v>
      </c>
      <c r="B10" s="348"/>
      <c r="C10" s="349"/>
      <c r="D10" s="350"/>
      <c r="E10" s="351"/>
      <c r="F10" s="350"/>
      <c r="G10" s="351"/>
      <c r="H10" s="350"/>
      <c r="I10" s="349"/>
      <c r="J10" s="350"/>
      <c r="K10" s="81"/>
    </row>
    <row r="11" spans="1:14" ht="15.75">
      <c r="A11" s="49" t="s">
        <v>622</v>
      </c>
      <c r="B11" s="23" t="s">
        <v>623</v>
      </c>
      <c r="C11" s="51"/>
      <c r="D11" s="292">
        <f>'C.I.A.'!B16</f>
        <v>900792</v>
      </c>
      <c r="E11" s="51"/>
      <c r="F11" s="140">
        <f>'C.I.A.'!D31</f>
        <v>27690</v>
      </c>
      <c r="G11" s="51"/>
      <c r="H11" s="159"/>
      <c r="I11" s="51"/>
      <c r="J11" s="139">
        <f>SUM(D11:H11)</f>
        <v>928482</v>
      </c>
      <c r="K11" s="82"/>
    </row>
    <row r="12" spans="1:14" ht="15.75">
      <c r="A12" s="61" t="s">
        <v>624</v>
      </c>
      <c r="B12" s="50"/>
      <c r="C12" s="52"/>
      <c r="D12" s="139">
        <f>SUM(D11:D11)</f>
        <v>900792</v>
      </c>
      <c r="E12" s="52"/>
      <c r="F12" s="139">
        <f>SUM(F11:F11)</f>
        <v>27690</v>
      </c>
      <c r="G12" s="52"/>
      <c r="H12" s="139">
        <f>SUM(H11:H11)</f>
        <v>0</v>
      </c>
      <c r="I12" s="52"/>
      <c r="J12" s="139">
        <f t="shared" ref="J12:J17" si="0">SUM(D12:H12)</f>
        <v>928482</v>
      </c>
      <c r="K12" s="82"/>
      <c r="M12" s="293"/>
    </row>
    <row r="13" spans="1:14" ht="15.75">
      <c r="A13" s="49" t="s">
        <v>625</v>
      </c>
      <c r="B13" s="23" t="s">
        <v>626</v>
      </c>
      <c r="C13" s="51"/>
      <c r="D13" s="322"/>
      <c r="E13" s="51"/>
      <c r="F13" s="322"/>
      <c r="G13" s="51"/>
      <c r="H13" s="140">
        <f>'C.I.A.'!D32</f>
        <v>68071</v>
      </c>
      <c r="I13" s="51"/>
      <c r="J13" s="139">
        <f t="shared" si="0"/>
        <v>68071</v>
      </c>
      <c r="K13" s="82"/>
    </row>
    <row r="14" spans="1:14" ht="15.75">
      <c r="A14" s="49" t="s">
        <v>627</v>
      </c>
      <c r="B14" s="23" t="s">
        <v>628</v>
      </c>
      <c r="C14" s="51"/>
      <c r="D14" s="319"/>
      <c r="E14" s="51"/>
      <c r="F14" s="319"/>
      <c r="G14" s="51"/>
      <c r="H14" s="140">
        <f>'C.I.A.'!D34</f>
        <v>78002</v>
      </c>
      <c r="I14" s="51"/>
      <c r="J14" s="139">
        <f t="shared" si="0"/>
        <v>78002</v>
      </c>
      <c r="K14" s="82"/>
    </row>
    <row r="15" spans="1:14" ht="15.75">
      <c r="A15" s="49" t="s">
        <v>629</v>
      </c>
      <c r="B15" s="23" t="s">
        <v>630</v>
      </c>
      <c r="C15" s="51"/>
      <c r="D15" s="319"/>
      <c r="E15" s="51"/>
      <c r="F15" s="319"/>
      <c r="G15" s="51"/>
      <c r="H15" s="140">
        <f>'C.I.A.'!D39*0</f>
        <v>0</v>
      </c>
      <c r="I15" s="51"/>
      <c r="J15" s="139">
        <f t="shared" si="0"/>
        <v>0</v>
      </c>
      <c r="K15" s="82"/>
    </row>
    <row r="16" spans="1:14" ht="15.75">
      <c r="A16" s="49" t="s">
        <v>631</v>
      </c>
      <c r="B16" s="23" t="s">
        <v>632</v>
      </c>
      <c r="C16" s="51"/>
      <c r="D16" s="319"/>
      <c r="E16" s="51"/>
      <c r="F16" s="319"/>
      <c r="G16" s="51"/>
      <c r="H16" s="159">
        <v>0</v>
      </c>
      <c r="I16" s="51"/>
      <c r="J16" s="139">
        <f t="shared" si="0"/>
        <v>0</v>
      </c>
      <c r="K16" s="82"/>
    </row>
    <row r="17" spans="1:17" ht="15.75">
      <c r="A17" s="49" t="s">
        <v>633</v>
      </c>
      <c r="B17" s="23" t="s">
        <v>634</v>
      </c>
      <c r="C17" s="51"/>
      <c r="D17" s="320"/>
      <c r="E17" s="51"/>
      <c r="F17" s="320"/>
      <c r="G17" s="51"/>
      <c r="H17" s="159">
        <v>154191</v>
      </c>
      <c r="I17" s="51"/>
      <c r="J17" s="139">
        <f t="shared" si="0"/>
        <v>154191</v>
      </c>
      <c r="K17" s="82"/>
      <c r="M17" s="1176" t="s">
        <v>635</v>
      </c>
      <c r="N17" s="1176"/>
    </row>
    <row r="18" spans="1:17" ht="15.75">
      <c r="A18" s="62" t="s">
        <v>636</v>
      </c>
      <c r="B18" s="46"/>
      <c r="C18" s="69"/>
      <c r="D18" s="141">
        <f>SUM(D12:D17)</f>
        <v>900792</v>
      </c>
      <c r="E18" s="53"/>
      <c r="F18" s="141">
        <f>SUM(F12:F17)</f>
        <v>27690</v>
      </c>
      <c r="G18" s="53"/>
      <c r="H18" s="141">
        <f>SUM(H12:H17)</f>
        <v>300264</v>
      </c>
      <c r="I18" s="53"/>
      <c r="J18" s="141">
        <f>SUM(D18:H18)</f>
        <v>1228746</v>
      </c>
      <c r="K18" s="82"/>
      <c r="M18" s="362">
        <f>(F18+H18)/J18</f>
        <v>0.26690137750194098</v>
      </c>
      <c r="N18" s="293" t="s">
        <v>637</v>
      </c>
      <c r="Q18" s="489"/>
    </row>
    <row r="19" spans="1:17" s="112" customFormat="1" ht="25.5" customHeight="1">
      <c r="A19" s="353" t="s">
        <v>638</v>
      </c>
      <c r="B19" s="354"/>
      <c r="C19" s="355"/>
      <c r="D19" s="356"/>
      <c r="E19" s="357"/>
      <c r="F19" s="356"/>
      <c r="G19" s="357"/>
      <c r="H19" s="356"/>
      <c r="I19" s="355"/>
      <c r="J19" s="356"/>
      <c r="K19" s="81"/>
      <c r="Q19" s="490"/>
    </row>
    <row r="20" spans="1:17" ht="15.75">
      <c r="A20" s="49" t="s">
        <v>639</v>
      </c>
      <c r="B20" s="23" t="s">
        <v>640</v>
      </c>
      <c r="C20" s="51"/>
      <c r="D20" s="320"/>
      <c r="E20" s="51"/>
      <c r="F20" s="319"/>
      <c r="G20" s="51"/>
      <c r="H20" s="320"/>
      <c r="I20" s="51"/>
      <c r="J20" s="320"/>
      <c r="K20" s="82"/>
    </row>
    <row r="21" spans="1:17" ht="21" customHeight="1">
      <c r="A21" s="160" t="s">
        <v>641</v>
      </c>
      <c r="B21" s="23" t="s">
        <v>623</v>
      </c>
      <c r="C21" s="51"/>
      <c r="D21" s="140">
        <f>'C.I.A.'!C16</f>
        <v>3216099</v>
      </c>
      <c r="E21" s="51"/>
      <c r="F21" s="319"/>
      <c r="G21" s="51"/>
      <c r="H21" s="159"/>
      <c r="I21" s="51"/>
      <c r="J21" s="139">
        <f t="shared" ref="J21:J24" si="1">SUM(D21:H21)</f>
        <v>3216099</v>
      </c>
      <c r="K21" s="82"/>
    </row>
    <row r="22" spans="1:17" ht="15.75">
      <c r="A22" s="61" t="s">
        <v>642</v>
      </c>
      <c r="B22" s="50"/>
      <c r="C22" s="52"/>
      <c r="D22" s="139">
        <f>SUM(D21:D21)</f>
        <v>3216099</v>
      </c>
      <c r="E22" s="52"/>
      <c r="F22" s="319"/>
      <c r="G22" s="52"/>
      <c r="H22" s="139">
        <f>D22/0.9*0.1</f>
        <v>357344.33333333331</v>
      </c>
      <c r="I22" s="52"/>
      <c r="J22" s="139">
        <f t="shared" si="1"/>
        <v>3573443.3333333335</v>
      </c>
      <c r="K22" s="82"/>
      <c r="M22" s="361">
        <f>H22/J22</f>
        <v>9.9999999999999992E-2</v>
      </c>
      <c r="N22" s="293" t="s">
        <v>643</v>
      </c>
    </row>
    <row r="23" spans="1:17" ht="15.75">
      <c r="A23" s="49" t="s">
        <v>625</v>
      </c>
      <c r="B23" s="23" t="s">
        <v>644</v>
      </c>
      <c r="C23" s="52"/>
      <c r="D23" s="140">
        <f>'C.I.A.'!C20</f>
        <v>175623</v>
      </c>
      <c r="E23" s="51"/>
      <c r="F23" s="319"/>
      <c r="G23" s="51"/>
      <c r="H23" s="322"/>
      <c r="I23" s="51"/>
      <c r="J23" s="139">
        <f t="shared" si="1"/>
        <v>175623</v>
      </c>
      <c r="K23" s="82"/>
    </row>
    <row r="24" spans="1:17" ht="15.75" customHeight="1">
      <c r="A24" s="49" t="s">
        <v>627</v>
      </c>
      <c r="B24" s="323" t="s">
        <v>645</v>
      </c>
      <c r="C24" s="70"/>
      <c r="D24" s="140">
        <f>'C.I.A.'!C21</f>
        <v>3738</v>
      </c>
      <c r="E24" s="51"/>
      <c r="F24" s="320"/>
      <c r="G24" s="51"/>
      <c r="H24" s="320"/>
      <c r="I24" s="51"/>
      <c r="J24" s="139">
        <f t="shared" si="1"/>
        <v>3738</v>
      </c>
      <c r="K24" s="82"/>
    </row>
    <row r="25" spans="1:17" s="112" customFormat="1" ht="25.5" customHeight="1">
      <c r="A25" s="353" t="s">
        <v>646</v>
      </c>
      <c r="B25" s="354"/>
      <c r="C25" s="355"/>
      <c r="D25" s="358"/>
      <c r="E25" s="357"/>
      <c r="F25" s="356"/>
      <c r="G25" s="357"/>
      <c r="H25" s="358"/>
      <c r="I25" s="355"/>
      <c r="J25" s="358"/>
      <c r="K25" s="81"/>
    </row>
    <row r="26" spans="1:17" ht="15.75">
      <c r="A26" s="49" t="s">
        <v>639</v>
      </c>
      <c r="B26" s="23" t="s">
        <v>623</v>
      </c>
      <c r="C26" s="51"/>
      <c r="D26" s="140">
        <f>'C.I.A.'!D16</f>
        <v>711319.39999999991</v>
      </c>
      <c r="E26" s="51"/>
      <c r="F26" s="319"/>
      <c r="G26" s="51"/>
      <c r="H26" s="159"/>
      <c r="I26" s="51"/>
      <c r="J26" s="139">
        <f>SUM(D26:H26)</f>
        <v>711319.39999999991</v>
      </c>
      <c r="K26" s="82"/>
    </row>
    <row r="27" spans="1:17" ht="15.75">
      <c r="A27" s="61" t="s">
        <v>642</v>
      </c>
      <c r="B27" s="50"/>
      <c r="C27" s="52"/>
      <c r="D27" s="139">
        <f>SUM(D26:D26)</f>
        <v>711319.39999999991</v>
      </c>
      <c r="E27" s="52"/>
      <c r="F27" s="319"/>
      <c r="G27" s="52"/>
      <c r="H27" s="139">
        <f>D27/0.9*0.1</f>
        <v>79035.488888888882</v>
      </c>
      <c r="I27" s="52"/>
      <c r="J27" s="139">
        <f>SUM(D27:H27)</f>
        <v>790354.88888888876</v>
      </c>
      <c r="K27" s="82"/>
      <c r="M27" s="361">
        <f>H27/J27</f>
        <v>0.1</v>
      </c>
      <c r="N27" s="293" t="s">
        <v>643</v>
      </c>
    </row>
    <row r="28" spans="1:17" ht="15.75" customHeight="1">
      <c r="A28" s="49" t="s">
        <v>625</v>
      </c>
      <c r="B28" s="323" t="s">
        <v>647</v>
      </c>
      <c r="C28" s="70"/>
      <c r="D28" s="140">
        <f>'C.I.A.'!D21</f>
        <v>5608</v>
      </c>
      <c r="E28" s="51"/>
      <c r="F28" s="320"/>
      <c r="G28" s="51"/>
      <c r="H28" s="320"/>
      <c r="I28" s="51"/>
      <c r="J28" s="139">
        <f>SUM(D28:H28)</f>
        <v>5608</v>
      </c>
      <c r="K28" s="82"/>
    </row>
    <row r="29" spans="1:17" s="112" customFormat="1" ht="25.5" customHeight="1">
      <c r="A29" s="353" t="s">
        <v>648</v>
      </c>
      <c r="B29" s="354"/>
      <c r="C29" s="355"/>
      <c r="D29" s="358"/>
      <c r="E29" s="357"/>
      <c r="F29" s="356"/>
      <c r="G29" s="357"/>
      <c r="H29" s="358"/>
      <c r="I29" s="355"/>
      <c r="J29" s="358"/>
      <c r="K29" s="81"/>
    </row>
    <row r="30" spans="1:17" ht="15.75">
      <c r="A30" s="49" t="s">
        <v>639</v>
      </c>
      <c r="B30" s="23" t="s">
        <v>623</v>
      </c>
      <c r="C30" s="51"/>
      <c r="D30" s="140">
        <f>'C.I.A.'!E16</f>
        <v>3012856.6</v>
      </c>
      <c r="E30" s="51"/>
      <c r="F30" s="319"/>
      <c r="G30" s="51"/>
      <c r="H30" s="159"/>
      <c r="I30" s="51"/>
      <c r="J30" s="139">
        <f>SUM(D30:H30)</f>
        <v>3012856.6</v>
      </c>
      <c r="K30" s="82"/>
    </row>
    <row r="31" spans="1:17" ht="15.75">
      <c r="A31" s="61" t="s">
        <v>642</v>
      </c>
      <c r="B31" s="50"/>
      <c r="C31" s="52"/>
      <c r="D31" s="139">
        <f>SUM(D30:D30)</f>
        <v>3012856.6</v>
      </c>
      <c r="E31" s="52"/>
      <c r="F31" s="319"/>
      <c r="G31" s="52"/>
      <c r="H31" s="139">
        <f>D31/0.9*0.1</f>
        <v>334761.84444444446</v>
      </c>
      <c r="I31" s="52"/>
      <c r="J31" s="139">
        <f>SUM(D31:H31)</f>
        <v>3347618.4444444445</v>
      </c>
      <c r="K31" s="82"/>
      <c r="M31" s="361">
        <f>H31/J31</f>
        <v>0.1</v>
      </c>
      <c r="N31" s="293" t="s">
        <v>643</v>
      </c>
    </row>
    <row r="32" spans="1:17" ht="15.75" customHeight="1">
      <c r="A32" s="49" t="s">
        <v>625</v>
      </c>
      <c r="B32" s="323" t="s">
        <v>649</v>
      </c>
      <c r="C32" s="70"/>
      <c r="D32" s="140">
        <f>'C.I.A.'!E21</f>
        <v>5608</v>
      </c>
      <c r="E32" s="51"/>
      <c r="F32" s="320"/>
      <c r="G32" s="51"/>
      <c r="H32" s="320"/>
      <c r="I32" s="51"/>
      <c r="J32" s="139">
        <f>SUM(D32:H32)</f>
        <v>5608</v>
      </c>
      <c r="K32" s="82"/>
    </row>
    <row r="33" spans="1:15" s="112" customFormat="1" ht="25.5" customHeight="1">
      <c r="A33" s="353" t="s">
        <v>650</v>
      </c>
      <c r="B33" s="354"/>
      <c r="C33" s="355"/>
      <c r="D33" s="358"/>
      <c r="E33" s="357"/>
      <c r="F33" s="356"/>
      <c r="G33" s="357"/>
      <c r="H33" s="356"/>
      <c r="I33" s="355"/>
      <c r="J33" s="358"/>
      <c r="K33" s="81"/>
    </row>
    <row r="34" spans="1:15" ht="15.75">
      <c r="A34" s="49" t="s">
        <v>639</v>
      </c>
      <c r="B34" s="23" t="s">
        <v>623</v>
      </c>
      <c r="C34" s="51"/>
      <c r="D34" s="140">
        <f>'C.I.A.'!G16</f>
        <v>168886</v>
      </c>
      <c r="E34" s="51"/>
      <c r="F34" s="319"/>
      <c r="G34" s="51"/>
      <c r="H34" s="319"/>
      <c r="I34" s="51"/>
      <c r="J34" s="139">
        <f>SUM(D34:H34)</f>
        <v>168886</v>
      </c>
      <c r="K34" s="82"/>
    </row>
    <row r="35" spans="1:15" ht="15.75">
      <c r="A35" s="61" t="s">
        <v>651</v>
      </c>
      <c r="B35" s="50"/>
      <c r="C35" s="55"/>
      <c r="D35" s="139">
        <f>SUM(D34:D34)</f>
        <v>168886</v>
      </c>
      <c r="E35" s="52"/>
      <c r="F35" s="320"/>
      <c r="G35" s="52"/>
      <c r="H35" s="57"/>
      <c r="I35" s="52"/>
      <c r="J35" s="139">
        <f>SUM(D35:H35)</f>
        <v>168886</v>
      </c>
      <c r="K35" s="82"/>
    </row>
    <row r="36" spans="1:15" s="112" customFormat="1" ht="25.5" customHeight="1">
      <c r="A36" s="353" t="s">
        <v>652</v>
      </c>
      <c r="B36" s="354"/>
      <c r="C36" s="355"/>
      <c r="D36" s="359"/>
      <c r="E36" s="357"/>
      <c r="F36" s="356"/>
      <c r="G36" s="357"/>
      <c r="H36" s="358"/>
      <c r="I36" s="355"/>
      <c r="J36" s="360"/>
      <c r="K36" s="327"/>
      <c r="M36" s="5"/>
      <c r="N36" s="5"/>
      <c r="O36" s="5"/>
    </row>
    <row r="37" spans="1:15" ht="15.75">
      <c r="A37" s="49" t="s">
        <v>639</v>
      </c>
      <c r="B37" s="23" t="s">
        <v>623</v>
      </c>
      <c r="C37" s="51"/>
      <c r="D37" s="144">
        <f>'C.I.A.'!H18</f>
        <v>917260</v>
      </c>
      <c r="E37" s="58"/>
      <c r="F37" s="326"/>
      <c r="G37" s="113"/>
      <c r="H37" s="159"/>
      <c r="I37" s="58"/>
      <c r="J37" s="142">
        <f>SUM(D37:H37)</f>
        <v>917260</v>
      </c>
      <c r="K37" s="328"/>
    </row>
    <row r="38" spans="1:15" ht="15.75">
      <c r="A38" s="63" t="s">
        <v>651</v>
      </c>
      <c r="B38" s="55"/>
      <c r="C38" s="55"/>
      <c r="D38" s="145">
        <f>SUM(D37:D37)</f>
        <v>917260</v>
      </c>
      <c r="E38" s="55"/>
      <c r="F38" s="57"/>
      <c r="G38" s="55"/>
      <c r="H38" s="139">
        <f>D38/0.9*0.1</f>
        <v>101917.77777777778</v>
      </c>
      <c r="I38" s="55"/>
      <c r="J38" s="143">
        <f>SUM(D38:H38)</f>
        <v>1019177.7777777778</v>
      </c>
      <c r="K38" s="83"/>
      <c r="M38" s="361">
        <f>H38/J38</f>
        <v>0.1</v>
      </c>
      <c r="N38" s="293" t="s">
        <v>643</v>
      </c>
    </row>
    <row r="39" spans="1:15" s="112" customFormat="1" ht="25.5" customHeight="1">
      <c r="A39" s="353" t="s">
        <v>653</v>
      </c>
      <c r="B39" s="354"/>
      <c r="C39" s="355"/>
      <c r="D39" s="358"/>
      <c r="E39" s="357"/>
      <c r="F39" s="356"/>
      <c r="G39" s="357"/>
      <c r="H39" s="356"/>
      <c r="I39" s="355"/>
      <c r="J39" s="358"/>
      <c r="K39" s="81"/>
    </row>
    <row r="40" spans="1:15" ht="15.75">
      <c r="A40" s="49" t="s">
        <v>639</v>
      </c>
      <c r="B40" s="23" t="s">
        <v>623</v>
      </c>
      <c r="C40" s="51"/>
      <c r="D40" s="144">
        <f>'C.I.A.'!I16</f>
        <v>234489</v>
      </c>
      <c r="E40" s="51"/>
      <c r="F40" s="319"/>
      <c r="G40" s="51"/>
      <c r="H40" s="319"/>
      <c r="I40" s="51"/>
      <c r="J40" s="139">
        <f>SUM(D40:H40)</f>
        <v>234489</v>
      </c>
      <c r="K40" s="82"/>
    </row>
    <row r="41" spans="1:15" ht="15.75">
      <c r="A41" s="61" t="s">
        <v>651</v>
      </c>
      <c r="B41" s="50"/>
      <c r="C41" s="55"/>
      <c r="D41" s="139">
        <f>SUM(D40:D40)</f>
        <v>234489</v>
      </c>
      <c r="E41" s="52"/>
      <c r="F41" s="57"/>
      <c r="G41" s="55"/>
      <c r="H41" s="57"/>
      <c r="I41" s="55"/>
      <c r="J41" s="321">
        <f>SUM(D41:H41)</f>
        <v>234489</v>
      </c>
      <c r="K41" s="368"/>
    </row>
    <row r="42" spans="1:15" s="112" customFormat="1" ht="25.5" customHeight="1">
      <c r="A42" s="64" t="s">
        <v>654</v>
      </c>
      <c r="B42" s="56"/>
      <c r="C42" s="71"/>
      <c r="D42" s="114"/>
      <c r="E42" s="115"/>
      <c r="F42" s="5"/>
      <c r="G42" s="5"/>
      <c r="H42" s="5"/>
      <c r="I42" s="5"/>
      <c r="J42" s="5"/>
      <c r="K42" s="291"/>
    </row>
    <row r="43" spans="1:15" ht="15.75">
      <c r="A43" s="367" t="s">
        <v>655</v>
      </c>
      <c r="B43" s="109"/>
      <c r="C43" s="70"/>
      <c r="D43" s="143">
        <f xml:space="preserve"> SUM(D11,D21,D26,D30,D34,D37,D40)</f>
        <v>9161702</v>
      </c>
      <c r="E43" s="116"/>
      <c r="K43" s="6"/>
    </row>
    <row r="44" spans="1:15" s="112" customFormat="1" ht="18" customHeight="1">
      <c r="A44" s="64" t="s">
        <v>656</v>
      </c>
      <c r="B44" s="56"/>
      <c r="C44" s="71"/>
      <c r="D44" s="114"/>
      <c r="E44" s="115"/>
      <c r="F44" s="5"/>
      <c r="G44" s="5"/>
      <c r="H44" s="5"/>
      <c r="I44" s="5"/>
      <c r="J44" s="5"/>
      <c r="K44" s="5"/>
      <c r="L44" s="5"/>
    </row>
    <row r="45" spans="1:15" ht="15.75">
      <c r="A45" s="25" t="s">
        <v>657</v>
      </c>
      <c r="B45" s="109"/>
      <c r="C45" s="117"/>
      <c r="D45" s="143">
        <f>F18</f>
        <v>27690</v>
      </c>
      <c r="E45" s="116"/>
    </row>
    <row r="46" spans="1:15" s="112" customFormat="1" ht="20.25" customHeight="1">
      <c r="A46" s="363" t="s">
        <v>658</v>
      </c>
      <c r="B46" s="364"/>
      <c r="C46" s="71"/>
      <c r="D46" s="114"/>
      <c r="E46" s="115"/>
      <c r="F46" s="5"/>
      <c r="G46" s="5"/>
      <c r="H46" s="5"/>
      <c r="I46" s="5"/>
      <c r="J46" s="5"/>
      <c r="K46" s="5"/>
      <c r="L46" s="5"/>
    </row>
    <row r="47" spans="1:15" ht="18.75" customHeight="1">
      <c r="A47" s="365" t="s">
        <v>659</v>
      </c>
      <c r="B47" s="366"/>
      <c r="C47" s="117"/>
      <c r="D47" s="143">
        <f>D43+D45</f>
        <v>9189392</v>
      </c>
      <c r="E47" s="116"/>
    </row>
    <row r="48" spans="1:15" s="112" customFormat="1" ht="18" customHeight="1">
      <c r="A48" s="5"/>
      <c r="B48" s="6"/>
      <c r="C48" s="5"/>
      <c r="D48" s="5"/>
      <c r="E48" s="5"/>
      <c r="F48" s="5"/>
      <c r="G48" s="5"/>
      <c r="H48" s="5"/>
      <c r="I48" s="5"/>
      <c r="J48" s="5"/>
      <c r="K48" s="5"/>
      <c r="L48" s="5"/>
    </row>
    <row r="49" spans="1:12">
      <c r="D49" s="488"/>
    </row>
    <row r="50" spans="1:12" s="112" customFormat="1" ht="20.25" customHeight="1">
      <c r="A50" s="5"/>
      <c r="B50" s="5"/>
      <c r="C50" s="5"/>
      <c r="D50" s="488"/>
      <c r="E50" s="5"/>
      <c r="F50" s="5"/>
      <c r="G50" s="5"/>
      <c r="H50" s="5"/>
      <c r="I50" s="5"/>
      <c r="J50" s="5"/>
      <c r="K50" s="5"/>
      <c r="L50" s="5"/>
    </row>
    <row r="53" spans="1:12" ht="15.75">
      <c r="B53" s="6"/>
    </row>
  </sheetData>
  <customSheetViews>
    <customSheetView guid="{141D05B7-EC03-4D54-B355-18B30B95005C}" showPageBreaks="1" showGridLines="0" fitToPage="1" printArea="1">
      <selection activeCell="B12" sqref="B12"/>
      <pageMargins left="0" right="0" top="0" bottom="0" header="0" footer="0"/>
      <pageSetup scale="76" orientation="portrait" r:id="rId1"/>
      <headerFooter alignWithMargins="0">
        <oddFooter>&amp;C&amp;"Times New Roman,Regular"Page &amp;P</oddFooter>
      </headerFooter>
    </customSheetView>
    <customSheetView guid="{9D049D41-B99B-4004-9128-98F3E5E97A8B}" showPageBreaks="1" showGridLines="0" fitToPage="1" printArea="1">
      <selection activeCell="B12" sqref="B12"/>
      <pageMargins left="0" right="0" top="0" bottom="0" header="0" footer="0"/>
      <pageSetup scale="76" orientation="portrait" r:id="rId2"/>
      <headerFooter alignWithMargins="0">
        <oddFooter>&amp;C&amp;"Times New Roman,Regular"Page &amp;P</oddFooter>
      </headerFooter>
    </customSheetView>
  </customSheetViews>
  <mergeCells count="3">
    <mergeCell ref="A3:J3"/>
    <mergeCell ref="M17:N17"/>
    <mergeCell ref="A5:J6"/>
  </mergeCells>
  <phoneticPr fontId="0" type="noConversion"/>
  <pageMargins left="0.75" right="0.75" top="1" bottom="1" header="0.5" footer="0.5"/>
  <pageSetup scale="58" orientation="portrait" r:id="rId3"/>
  <headerFooter alignWithMargins="0">
    <oddFooter>&amp;C&amp;"Times New Roman,Regular"Page &amp;P</oddFooter>
  </headerFooter>
  <ignoredErrors>
    <ignoredError sqref="D7 F7 H7 J7 A2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0">
    <tabColor theme="9" tint="0.79998168889431442"/>
    <pageSetUpPr fitToPage="1"/>
  </sheetPr>
  <dimension ref="A1:BY242"/>
  <sheetViews>
    <sheetView showGridLines="0" tabSelected="1" topLeftCell="AD225" zoomScaleNormal="100" zoomScaleSheetLayoutView="77" workbookViewId="0">
      <selection activeCell="AI239" sqref="AI239"/>
    </sheetView>
  </sheetViews>
  <sheetFormatPr defaultColWidth="6.42578125" defaultRowHeight="12.75"/>
  <cols>
    <col min="1" max="1" width="0" style="5" hidden="1" customWidth="1"/>
    <col min="2" max="2" width="19.42578125" style="5" hidden="1" customWidth="1"/>
    <col min="3" max="3" width="19.7109375" style="5" hidden="1" customWidth="1"/>
    <col min="4" max="4" width="10" style="5" hidden="1" customWidth="1"/>
    <col min="5" max="5" width="10.7109375" style="5" hidden="1" customWidth="1"/>
    <col min="6" max="8" width="6.42578125" style="5" hidden="1" customWidth="1"/>
    <col min="9" max="9" width="9" style="5" hidden="1" customWidth="1"/>
    <col min="10" max="14" width="6.42578125" style="5" hidden="1" customWidth="1"/>
    <col min="15" max="15" width="11.28515625" style="5" hidden="1" customWidth="1"/>
    <col min="16" max="16" width="6.42578125" style="5" hidden="1" customWidth="1"/>
    <col min="17" max="18" width="8.7109375" style="5" hidden="1" customWidth="1"/>
    <col min="19" max="19" width="8" style="5" hidden="1" customWidth="1"/>
    <col min="20" max="20" width="6.42578125" style="5" hidden="1" customWidth="1"/>
    <col min="21" max="21" width="7.7109375" style="5" hidden="1" customWidth="1"/>
    <col min="22" max="22" width="10.85546875" style="5" hidden="1" customWidth="1"/>
    <col min="23" max="24" width="0" style="5" hidden="1" customWidth="1"/>
    <col min="25" max="29" width="6.42578125" style="5" hidden="1" customWidth="1"/>
    <col min="30" max="30" width="12.85546875" style="5" customWidth="1"/>
    <col min="31" max="31" width="8.5703125" style="5" customWidth="1"/>
    <col min="32" max="32" width="15.7109375" style="5" customWidth="1"/>
    <col min="33" max="33" width="7.5703125" style="5" customWidth="1"/>
    <col min="34" max="34" width="14.5703125" style="5" customWidth="1"/>
    <col min="35" max="35" width="10.42578125" style="5" customWidth="1"/>
    <col min="36" max="36" width="9.28515625" style="5" customWidth="1"/>
    <col min="37" max="37" width="10" style="5" customWidth="1"/>
    <col min="38" max="38" width="10.140625" style="5" customWidth="1"/>
    <col min="39" max="39" width="10.28515625" style="5" customWidth="1"/>
    <col min="40" max="40" width="10" style="5" customWidth="1"/>
    <col min="41" max="41" width="10.28515625" style="5" customWidth="1"/>
    <col min="42" max="42" width="10.140625" style="5" customWidth="1"/>
    <col min="43" max="45" width="9.28515625" style="5" customWidth="1"/>
    <col min="46" max="46" width="10.140625" style="5" customWidth="1"/>
    <col min="47" max="53" width="9.28515625" style="5" customWidth="1"/>
    <col min="54" max="54" width="10.5703125" style="5" customWidth="1"/>
    <col min="55" max="55" width="9.28515625" style="5" customWidth="1"/>
    <col min="56" max="56" width="10.140625" style="5" customWidth="1"/>
    <col min="57" max="57" width="10.28515625" style="5" customWidth="1"/>
    <col min="58" max="58" width="10" style="5" customWidth="1"/>
    <col min="59" max="59" width="9.28515625" style="5" customWidth="1"/>
    <col min="60" max="60" width="10.140625" style="5" customWidth="1"/>
    <col min="61" max="61" width="10" style="5" customWidth="1"/>
    <col min="62" max="62" width="10.5703125" style="5" customWidth="1"/>
    <col min="63" max="63" width="10.140625" style="5" customWidth="1"/>
    <col min="64" max="64" width="10.42578125" style="5" customWidth="1"/>
    <col min="65" max="65" width="11" style="5" customWidth="1"/>
    <col min="66" max="66" width="10.28515625" style="5" customWidth="1"/>
    <col min="67" max="67" width="10" style="5" customWidth="1"/>
    <col min="68" max="68" width="9.28515625" style="5" hidden="1" customWidth="1"/>
    <col min="69" max="70" width="10.85546875" style="5" customWidth="1"/>
    <col min="71" max="71" width="10.42578125" style="5" bestFit="1" customWidth="1"/>
    <col min="72" max="72" width="13.140625" style="5" bestFit="1" customWidth="1"/>
    <col min="73" max="73" width="11.85546875" style="5" customWidth="1"/>
    <col min="74" max="74" width="9.28515625" style="5" customWidth="1"/>
    <col min="75" max="75" width="11.85546875" style="5" customWidth="1"/>
    <col min="76" max="76" width="12.140625" style="5" customWidth="1"/>
    <col min="77" max="16384" width="6.42578125" style="5"/>
  </cols>
  <sheetData>
    <row r="1" spans="30:77" s="2" customFormat="1" ht="15">
      <c r="AD1" s="871" t="str">
        <f>'[1]C.I.A.'!A1</f>
        <v xml:space="preserve">PSA:   5                Original Submission Date:                                     </v>
      </c>
      <c r="AE1" s="871"/>
      <c r="AF1" s="871"/>
      <c r="AH1" s="517">
        <v>46265</v>
      </c>
      <c r="AL1" s="2" t="s">
        <v>660</v>
      </c>
      <c r="BY1" s="325" t="s">
        <v>23</v>
      </c>
    </row>
    <row r="2" spans="30:77" customFormat="1" ht="6" customHeight="1"/>
    <row r="3" spans="30:77" ht="20.25" customHeight="1">
      <c r="AD3" s="121" t="s">
        <v>661</v>
      </c>
      <c r="AE3" s="121"/>
      <c r="AF3" s="121"/>
      <c r="AG3" s="84"/>
      <c r="AH3" s="84"/>
      <c r="AI3" s="84"/>
      <c r="AJ3" s="84"/>
      <c r="AK3" s="85"/>
      <c r="AL3" s="84"/>
      <c r="AN3" s="84"/>
      <c r="AO3" s="84"/>
      <c r="AP3" s="84"/>
      <c r="AQ3" s="84"/>
      <c r="AR3" s="84"/>
      <c r="AS3" s="84"/>
      <c r="AT3" s="84"/>
      <c r="AU3" s="84"/>
      <c r="AV3" s="84"/>
      <c r="AW3" s="84"/>
      <c r="AX3" s="84"/>
      <c r="AY3" s="84"/>
      <c r="AZ3" s="84"/>
      <c r="BA3" s="84"/>
      <c r="BB3" s="84"/>
      <c r="BC3" s="84"/>
      <c r="BD3" s="84"/>
      <c r="BE3" s="86"/>
      <c r="BF3" s="86"/>
      <c r="BG3" s="86"/>
      <c r="BH3" s="86"/>
      <c r="BI3" s="84"/>
      <c r="BJ3" s="84"/>
      <c r="BK3" s="84"/>
      <c r="BN3" s="85"/>
      <c r="BO3" s="85"/>
      <c r="BP3" s="85"/>
    </row>
    <row r="4" spans="30:77" ht="18" customHeight="1">
      <c r="AD4" s="6" t="s">
        <v>662</v>
      </c>
      <c r="AE4" s="6"/>
      <c r="AF4" s="6"/>
      <c r="AG4" s="118"/>
      <c r="AH4" s="26" t="s">
        <v>663</v>
      </c>
      <c r="AI4" s="26"/>
      <c r="AJ4" s="6"/>
      <c r="AL4" s="6"/>
      <c r="AM4" s="6"/>
      <c r="AN4" s="6"/>
      <c r="AO4" s="6"/>
      <c r="AP4" s="6"/>
      <c r="AQ4" s="6"/>
      <c r="AR4" s="6"/>
      <c r="AS4" s="6"/>
      <c r="AT4" s="6"/>
      <c r="AU4" s="6"/>
      <c r="AV4" s="6"/>
      <c r="AW4" s="6"/>
      <c r="AX4" s="6"/>
      <c r="AY4" s="6"/>
      <c r="AZ4" s="6"/>
      <c r="BA4" s="6"/>
      <c r="BB4" s="6"/>
      <c r="BC4" s="6"/>
      <c r="BD4" s="6"/>
      <c r="BI4" s="6"/>
      <c r="BJ4" s="6"/>
      <c r="BK4" s="6"/>
      <c r="BO4" s="6"/>
      <c r="BP4" s="6"/>
    </row>
    <row r="5" spans="30:77" ht="16.5" customHeight="1">
      <c r="AD5" s="6" t="s">
        <v>664</v>
      </c>
      <c r="AE5" s="6">
        <v>2027</v>
      </c>
      <c r="AF5" s="6"/>
      <c r="AG5" s="84"/>
      <c r="AH5" s="6"/>
      <c r="AI5" s="6"/>
      <c r="AJ5" s="6"/>
      <c r="AK5" s="6"/>
      <c r="AL5" s="6"/>
      <c r="AM5" s="6"/>
      <c r="AN5" s="6"/>
      <c r="AO5" s="6"/>
      <c r="AP5" s="6"/>
      <c r="AQ5" s="6"/>
      <c r="AR5" s="6"/>
      <c r="AS5" s="6"/>
      <c r="AT5" s="6"/>
      <c r="AU5" s="6"/>
      <c r="AV5" s="6"/>
      <c r="AW5" s="6"/>
      <c r="AX5" s="6"/>
      <c r="AY5" s="6"/>
      <c r="AZ5" s="6"/>
      <c r="BA5" s="6"/>
      <c r="BB5" s="6"/>
      <c r="BC5" s="6"/>
      <c r="BD5" s="6"/>
      <c r="BI5" s="6"/>
      <c r="BJ5" s="6"/>
      <c r="BK5" s="6"/>
      <c r="BO5" s="6"/>
      <c r="BP5" s="6"/>
    </row>
    <row r="6" spans="30:77" ht="9.75" customHeight="1">
      <c r="AD6" s="346"/>
      <c r="AE6" s="346"/>
      <c r="AF6" s="346"/>
      <c r="AG6" s="346"/>
      <c r="AH6" s="346"/>
      <c r="AI6" s="346"/>
      <c r="AJ6" s="346"/>
      <c r="AK6" s="346"/>
      <c r="AL6" s="346"/>
      <c r="AM6" s="346"/>
      <c r="AN6" s="346"/>
      <c r="AO6" s="346"/>
      <c r="AP6" s="346"/>
      <c r="AQ6" s="346"/>
      <c r="AR6" s="346"/>
      <c r="AS6" s="346"/>
      <c r="AT6" s="346"/>
      <c r="AU6" s="346"/>
      <c r="AV6" s="346"/>
      <c r="AW6" s="346"/>
      <c r="AX6" s="346"/>
      <c r="AY6" s="346"/>
      <c r="AZ6" s="346"/>
      <c r="BA6" s="346"/>
      <c r="BB6" s="346"/>
      <c r="BC6" s="346"/>
      <c r="BD6" s="346"/>
      <c r="BE6" s="87"/>
      <c r="BF6" s="87"/>
      <c r="BG6" s="87"/>
      <c r="BH6" s="87"/>
      <c r="BI6" s="346"/>
      <c r="BJ6" s="346"/>
      <c r="BK6" s="346"/>
      <c r="BL6" s="87"/>
      <c r="BM6" s="87"/>
      <c r="BN6" s="346"/>
      <c r="BO6" s="346"/>
      <c r="BP6" s="346"/>
      <c r="BQ6" s="346"/>
      <c r="BR6" s="346"/>
      <c r="BS6" s="346"/>
      <c r="BT6" s="87"/>
    </row>
    <row r="7" spans="30:77" s="6" customFormat="1" ht="16.5" customHeight="1">
      <c r="AD7" s="872" t="s">
        <v>665</v>
      </c>
      <c r="AE7" s="873"/>
      <c r="AF7" s="873"/>
      <c r="AG7" s="874"/>
      <c r="AH7" s="136">
        <f>+AI116</f>
        <v>4409133.9799999995</v>
      </c>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c r="BJ7"/>
      <c r="BK7"/>
      <c r="BL7" s="88"/>
      <c r="BM7" s="88"/>
      <c r="BN7" s="88"/>
      <c r="BO7" s="88"/>
      <c r="BP7" s="88"/>
      <c r="BQ7" s="88"/>
      <c r="BR7" s="88"/>
      <c r="BS7" s="88"/>
      <c r="BT7" s="88"/>
    </row>
    <row r="8" spans="30:77" s="6" customFormat="1" ht="15.75">
      <c r="AD8" s="875" t="s">
        <v>666</v>
      </c>
      <c r="AE8" s="876"/>
      <c r="AF8" s="876"/>
      <c r="AG8" s="877"/>
      <c r="AH8" s="137">
        <f>+AI127</f>
        <v>0</v>
      </c>
    </row>
    <row r="9" spans="30:77" s="6" customFormat="1" ht="15.75">
      <c r="AD9" s="875" t="s">
        <v>667</v>
      </c>
      <c r="AE9" s="876"/>
      <c r="AF9" s="876"/>
      <c r="AG9" s="877"/>
      <c r="AH9" s="137">
        <f>+AI141</f>
        <v>1421187.2599999998</v>
      </c>
    </row>
    <row r="10" spans="30:77" s="6" customFormat="1" ht="15.75">
      <c r="AD10" s="875" t="s">
        <v>668</v>
      </c>
      <c r="AE10" s="876"/>
      <c r="AF10" s="876"/>
      <c r="AG10" s="877"/>
      <c r="AH10" s="137">
        <f>+AI142</f>
        <v>5830321.2399999993</v>
      </c>
      <c r="BC10"/>
    </row>
    <row r="11" spans="30:77" s="6" customFormat="1" ht="15.75">
      <c r="AD11" s="89" t="s">
        <v>669</v>
      </c>
      <c r="AE11" s="518"/>
      <c r="AF11" s="518"/>
      <c r="AG11" s="90"/>
      <c r="AH11" s="137">
        <f>+AI153</f>
        <v>61468.150000000009</v>
      </c>
      <c r="BC11"/>
    </row>
    <row r="12" spans="30:77" s="6" customFormat="1" ht="15.75">
      <c r="AD12" s="875" t="s">
        <v>670</v>
      </c>
      <c r="AE12" s="876"/>
      <c r="AF12" s="876"/>
      <c r="AG12" s="877"/>
      <c r="AH12" s="137">
        <f>+AI164</f>
        <v>504693.32000000018</v>
      </c>
      <c r="BC12"/>
    </row>
    <row r="13" spans="30:77" s="6" customFormat="1" ht="15.75">
      <c r="AD13" s="875" t="s">
        <v>671</v>
      </c>
      <c r="AE13" s="876"/>
      <c r="AF13" s="876"/>
      <c r="AG13" s="877"/>
      <c r="AH13" s="137">
        <f>+AI176</f>
        <v>77571.56</v>
      </c>
      <c r="BC13"/>
    </row>
    <row r="14" spans="30:77" s="6" customFormat="1" ht="15.75">
      <c r="AD14" s="875" t="s">
        <v>672</v>
      </c>
      <c r="AE14" s="876"/>
      <c r="AF14" s="876"/>
      <c r="AG14" s="877"/>
      <c r="AH14" s="137">
        <f>+AI185</f>
        <v>43943.209999999992</v>
      </c>
    </row>
    <row r="15" spans="30:77" s="6" customFormat="1" ht="15.75">
      <c r="AD15" s="89" t="s">
        <v>673</v>
      </c>
      <c r="AE15" s="518"/>
      <c r="AF15" s="518"/>
      <c r="AG15" s="90"/>
      <c r="AH15" s="137">
        <f>+AI197</f>
        <v>273685.90000000002</v>
      </c>
    </row>
    <row r="16" spans="30:77" s="6" customFormat="1" ht="15.75">
      <c r="AD16" s="89" t="s">
        <v>674</v>
      </c>
      <c r="AE16" s="518"/>
      <c r="AF16" s="518"/>
      <c r="AG16" s="90"/>
      <c r="AH16" s="137">
        <f>+AI220</f>
        <v>1760983.27</v>
      </c>
    </row>
    <row r="17" spans="1:76" s="6" customFormat="1" ht="15.75">
      <c r="AD17" s="91" t="s">
        <v>675</v>
      </c>
      <c r="AE17" s="519"/>
      <c r="AF17" s="519"/>
      <c r="AG17" s="92"/>
      <c r="AH17" s="138">
        <f>+AI234</f>
        <v>9024647.5300000012</v>
      </c>
    </row>
    <row r="18" spans="1:76" ht="15.75">
      <c r="AD18" s="22"/>
      <c r="AE18" s="22"/>
      <c r="AF18" s="22"/>
      <c r="AG18" s="22"/>
      <c r="AH18" s="22"/>
      <c r="AI18" s="22"/>
      <c r="AJ18" s="22"/>
      <c r="AK18" s="22"/>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row>
    <row r="19" spans="1:76" s="6" customFormat="1" ht="15.75" hidden="1">
      <c r="AD19" s="22"/>
      <c r="AE19" s="22"/>
      <c r="AF19" s="22"/>
      <c r="AG19" s="22"/>
      <c r="AH19" s="93"/>
      <c r="AN19" s="520"/>
    </row>
    <row r="20" spans="1:76" ht="15.75" hidden="1">
      <c r="AD20" s="870" t="s">
        <v>676</v>
      </c>
      <c r="AE20" s="870"/>
      <c r="AF20" s="870"/>
      <c r="AG20" s="870"/>
      <c r="AH20" s="870"/>
      <c r="AI20" s="870"/>
      <c r="AJ20" s="870"/>
      <c r="AK20" s="95"/>
      <c r="AL20" s="95"/>
      <c r="AM20" s="95"/>
      <c r="AN20" s="95"/>
      <c r="AO20" s="95"/>
      <c r="AP20" s="95"/>
      <c r="AQ20" s="95"/>
      <c r="AR20" s="95"/>
      <c r="AS20" s="95"/>
      <c r="AT20" s="95"/>
      <c r="AU20" s="95"/>
      <c r="AV20" s="95"/>
      <c r="AW20" s="95"/>
      <c r="AX20" s="95"/>
      <c r="AY20" s="95"/>
      <c r="AZ20" s="95"/>
      <c r="BA20" s="95"/>
      <c r="BB20" s="95"/>
      <c r="BC20" s="95"/>
      <c r="BD20" s="95"/>
      <c r="BE20" s="347"/>
      <c r="BF20" s="347"/>
      <c r="BG20" s="347"/>
      <c r="BH20" s="347"/>
      <c r="BI20" s="95"/>
      <c r="BJ20" s="95"/>
      <c r="BK20" s="95"/>
      <c r="BL20" s="347"/>
      <c r="BM20" s="347"/>
      <c r="BN20" s="95"/>
      <c r="BO20" s="95"/>
      <c r="BP20" s="95"/>
      <c r="BQ20" s="95"/>
      <c r="BR20" s="95"/>
      <c r="BS20" s="95"/>
      <c r="BT20" s="95"/>
      <c r="BU20" s="95"/>
    </row>
    <row r="21" spans="1:76" ht="51" hidden="1">
      <c r="A21" s="177"/>
      <c r="B21" s="521" t="s">
        <v>677</v>
      </c>
      <c r="C21" s="522" t="s">
        <v>140</v>
      </c>
      <c r="D21" s="523" t="s">
        <v>140</v>
      </c>
      <c r="E21" s="523"/>
      <c r="F21" s="523" t="s">
        <v>140</v>
      </c>
      <c r="G21" s="523" t="s">
        <v>140</v>
      </c>
      <c r="H21" s="523" t="s">
        <v>140</v>
      </c>
      <c r="I21" s="523" t="s">
        <v>140</v>
      </c>
      <c r="J21" s="523" t="s">
        <v>140</v>
      </c>
      <c r="K21" s="523" t="s">
        <v>140</v>
      </c>
      <c r="L21" s="523" t="s">
        <v>140</v>
      </c>
      <c r="M21" s="524" t="s">
        <v>678</v>
      </c>
      <c r="N21" s="525" t="s">
        <v>679</v>
      </c>
      <c r="O21" s="526"/>
      <c r="P21" s="526" t="s">
        <v>680</v>
      </c>
      <c r="Q21" s="527" t="s">
        <v>681</v>
      </c>
      <c r="R21" s="527" t="s">
        <v>682</v>
      </c>
      <c r="S21" s="528" t="s">
        <v>683</v>
      </c>
      <c r="T21" s="528" t="s">
        <v>684</v>
      </c>
      <c r="U21" s="529" t="s">
        <v>685</v>
      </c>
      <c r="V21" s="522" t="s">
        <v>685</v>
      </c>
      <c r="W21" s="530" t="s">
        <v>140</v>
      </c>
      <c r="X21" s="522" t="s">
        <v>686</v>
      </c>
      <c r="Y21" s="531" t="s">
        <v>140</v>
      </c>
      <c r="Z21" s="521" t="s">
        <v>687</v>
      </c>
      <c r="AA21" s="531" t="s">
        <v>140</v>
      </c>
      <c r="AB21" s="531" t="s">
        <v>140</v>
      </c>
      <c r="AD21" s="878" t="s">
        <v>688</v>
      </c>
      <c r="AE21" s="881" t="s">
        <v>689</v>
      </c>
      <c r="AF21" s="884" t="s">
        <v>690</v>
      </c>
      <c r="AG21" s="166" t="s">
        <v>691</v>
      </c>
      <c r="AH21" s="166" t="s">
        <v>616</v>
      </c>
      <c r="AI21" s="166" t="s">
        <v>616</v>
      </c>
      <c r="AJ21" s="166" t="s">
        <v>692</v>
      </c>
      <c r="AK21" s="166" t="s">
        <v>31</v>
      </c>
      <c r="AL21" s="166" t="s">
        <v>693</v>
      </c>
      <c r="AM21" s="166" t="s">
        <v>31</v>
      </c>
      <c r="AN21" s="166" t="s">
        <v>690</v>
      </c>
      <c r="AO21" s="166" t="s">
        <v>690</v>
      </c>
      <c r="AP21" s="166" t="s">
        <v>690</v>
      </c>
      <c r="AQ21" s="166" t="s">
        <v>690</v>
      </c>
      <c r="AR21" s="166" t="s">
        <v>690</v>
      </c>
      <c r="AS21" s="166" t="s">
        <v>690</v>
      </c>
      <c r="AT21" s="166" t="s">
        <v>690</v>
      </c>
      <c r="AU21" s="166" t="s">
        <v>31</v>
      </c>
      <c r="AV21" s="166" t="s">
        <v>31</v>
      </c>
      <c r="AW21" s="166" t="s">
        <v>31</v>
      </c>
      <c r="AX21" s="166" t="s">
        <v>690</v>
      </c>
      <c r="AY21" s="166" t="s">
        <v>690</v>
      </c>
      <c r="AZ21" s="166" t="s">
        <v>690</v>
      </c>
      <c r="BA21" s="166" t="s">
        <v>690</v>
      </c>
      <c r="BB21" s="166" t="s">
        <v>690</v>
      </c>
      <c r="BC21" s="166" t="s">
        <v>31</v>
      </c>
      <c r="BD21" s="166" t="s">
        <v>31</v>
      </c>
      <c r="BE21" s="166" t="s">
        <v>379</v>
      </c>
      <c r="BF21" s="166" t="s">
        <v>379</v>
      </c>
      <c r="BG21" s="166" t="s">
        <v>379</v>
      </c>
      <c r="BH21" s="166" t="s">
        <v>694</v>
      </c>
      <c r="BI21" s="167" t="s">
        <v>302</v>
      </c>
      <c r="BJ21" s="167" t="s">
        <v>302</v>
      </c>
      <c r="BK21" s="167" t="s">
        <v>302</v>
      </c>
      <c r="BL21" s="166" t="s">
        <v>126</v>
      </c>
      <c r="BM21" s="166" t="s">
        <v>126</v>
      </c>
      <c r="BN21" s="167" t="s">
        <v>350</v>
      </c>
      <c r="BO21" s="166" t="s">
        <v>78</v>
      </c>
      <c r="BP21" s="167" t="s">
        <v>78</v>
      </c>
      <c r="BQ21" s="168" t="s">
        <v>695</v>
      </c>
      <c r="BR21" s="166" t="s">
        <v>696</v>
      </c>
      <c r="BS21" s="166" t="s">
        <v>71</v>
      </c>
      <c r="BT21" s="167" t="s">
        <v>697</v>
      </c>
      <c r="BU21" s="166" t="s">
        <v>674</v>
      </c>
      <c r="BV21" s="166" t="s">
        <v>616</v>
      </c>
      <c r="BW21" s="276" t="s">
        <v>616</v>
      </c>
      <c r="BX21" s="436" t="s">
        <v>698</v>
      </c>
    </row>
    <row r="22" spans="1:76" ht="90" hidden="1" thickBot="1">
      <c r="A22" s="177"/>
      <c r="B22" s="532" t="s">
        <v>140</v>
      </c>
      <c r="C22" s="533" t="s">
        <v>140</v>
      </c>
      <c r="D22" s="534" t="s">
        <v>140</v>
      </c>
      <c r="E22" s="534"/>
      <c r="F22" s="534" t="s">
        <v>140</v>
      </c>
      <c r="G22" s="534" t="s">
        <v>140</v>
      </c>
      <c r="H22" s="534" t="s">
        <v>140</v>
      </c>
      <c r="I22" s="535" t="s">
        <v>140</v>
      </c>
      <c r="J22" s="536" t="s">
        <v>692</v>
      </c>
      <c r="K22" s="537">
        <v>0.75</v>
      </c>
      <c r="L22" s="538">
        <v>0.25</v>
      </c>
      <c r="M22" s="539" t="s">
        <v>140</v>
      </c>
      <c r="N22" s="540" t="s">
        <v>699</v>
      </c>
      <c r="O22" s="541" t="s">
        <v>700</v>
      </c>
      <c r="P22" s="542">
        <v>500</v>
      </c>
      <c r="Q22" s="543" t="s">
        <v>701</v>
      </c>
      <c r="R22" s="543" t="s">
        <v>702</v>
      </c>
      <c r="S22" s="544" t="s">
        <v>140</v>
      </c>
      <c r="T22" s="545" t="s">
        <v>140</v>
      </c>
      <c r="U22" s="546" t="s">
        <v>140</v>
      </c>
      <c r="V22" s="536">
        <v>2027</v>
      </c>
      <c r="W22" s="547" t="s">
        <v>703</v>
      </c>
      <c r="X22" s="540" t="s">
        <v>704</v>
      </c>
      <c r="Y22" s="177"/>
      <c r="Z22" s="533" t="s">
        <v>705</v>
      </c>
      <c r="AA22" s="177"/>
      <c r="AB22" s="177"/>
      <c r="AD22" s="879"/>
      <c r="AE22" s="882"/>
      <c r="AF22" s="885"/>
      <c r="AG22" s="548" t="s">
        <v>706</v>
      </c>
      <c r="AH22" s="169" t="s">
        <v>707</v>
      </c>
      <c r="AI22" s="169" t="s">
        <v>707</v>
      </c>
      <c r="AJ22" s="169" t="s">
        <v>708</v>
      </c>
      <c r="AK22" s="169" t="s">
        <v>36</v>
      </c>
      <c r="AL22" s="169" t="s">
        <v>30</v>
      </c>
      <c r="AM22" s="169" t="s">
        <v>36</v>
      </c>
      <c r="AN22" s="169" t="s">
        <v>36</v>
      </c>
      <c r="AO22" s="169" t="s">
        <v>36</v>
      </c>
      <c r="AP22" s="169" t="s">
        <v>709</v>
      </c>
      <c r="AQ22" s="169" t="s">
        <v>36</v>
      </c>
      <c r="AR22" s="169" t="s">
        <v>36</v>
      </c>
      <c r="AS22" s="169" t="s">
        <v>709</v>
      </c>
      <c r="AT22" s="169" t="s">
        <v>36</v>
      </c>
      <c r="AU22" s="169" t="s">
        <v>36</v>
      </c>
      <c r="AV22" s="169" t="s">
        <v>36</v>
      </c>
      <c r="AW22" s="169" t="s">
        <v>40</v>
      </c>
      <c r="AX22" s="169" t="s">
        <v>40</v>
      </c>
      <c r="AY22" s="169" t="s">
        <v>40</v>
      </c>
      <c r="AZ22" s="169" t="s">
        <v>40</v>
      </c>
      <c r="BA22" s="169" t="s">
        <v>40</v>
      </c>
      <c r="BB22" s="169" t="s">
        <v>40</v>
      </c>
      <c r="BC22" s="169" t="s">
        <v>43</v>
      </c>
      <c r="BD22" s="169" t="s">
        <v>41</v>
      </c>
      <c r="BE22" s="169" t="s">
        <v>379</v>
      </c>
      <c r="BF22" s="169" t="s">
        <v>379</v>
      </c>
      <c r="BG22" s="169" t="s">
        <v>379</v>
      </c>
      <c r="BH22" s="169" t="s">
        <v>379</v>
      </c>
      <c r="BI22" s="169" t="s">
        <v>302</v>
      </c>
      <c r="BJ22" s="169" t="s">
        <v>302</v>
      </c>
      <c r="BK22" s="169" t="s">
        <v>302</v>
      </c>
      <c r="BL22" s="169" t="s">
        <v>126</v>
      </c>
      <c r="BM22" s="169" t="s">
        <v>126</v>
      </c>
      <c r="BN22" s="169" t="s">
        <v>350</v>
      </c>
      <c r="BO22" s="169" t="s">
        <v>78</v>
      </c>
      <c r="BP22" s="548" t="s">
        <v>78</v>
      </c>
      <c r="BQ22" s="170" t="s">
        <v>710</v>
      </c>
      <c r="BR22" s="169" t="s">
        <v>711</v>
      </c>
      <c r="BS22" s="169"/>
      <c r="BT22" s="169" t="s">
        <v>712</v>
      </c>
      <c r="BU22" s="169" t="s">
        <v>713</v>
      </c>
      <c r="BV22" s="169" t="s">
        <v>714</v>
      </c>
      <c r="BW22" s="277" t="s">
        <v>707</v>
      </c>
      <c r="BX22" s="437" t="s">
        <v>707</v>
      </c>
    </row>
    <row r="23" spans="1:76" ht="102.75" hidden="1" thickBot="1">
      <c r="A23" s="549" t="s">
        <v>715</v>
      </c>
      <c r="B23" s="550" t="s">
        <v>716</v>
      </c>
      <c r="C23" s="550" t="s">
        <v>716</v>
      </c>
      <c r="D23" s="550" t="s">
        <v>717</v>
      </c>
      <c r="E23" s="550" t="s">
        <v>718</v>
      </c>
      <c r="F23" s="550" t="s">
        <v>719</v>
      </c>
      <c r="G23" s="550" t="s">
        <v>720</v>
      </c>
      <c r="H23" s="550" t="s">
        <v>721</v>
      </c>
      <c r="I23" s="541" t="s">
        <v>722</v>
      </c>
      <c r="J23" s="550" t="s">
        <v>723</v>
      </c>
      <c r="K23" s="550" t="s">
        <v>724</v>
      </c>
      <c r="L23" s="550" t="s">
        <v>724</v>
      </c>
      <c r="M23" s="551" t="s">
        <v>725</v>
      </c>
      <c r="N23" s="552" t="s">
        <v>726</v>
      </c>
      <c r="O23" s="553">
        <v>0.01</v>
      </c>
      <c r="P23" s="553"/>
      <c r="Q23" s="554" t="s">
        <v>727</v>
      </c>
      <c r="R23" s="555">
        <v>0.03</v>
      </c>
      <c r="S23" s="556" t="s">
        <v>728</v>
      </c>
      <c r="T23" s="556" t="s">
        <v>728</v>
      </c>
      <c r="U23" s="557" t="s">
        <v>728</v>
      </c>
      <c r="V23" s="550" t="s">
        <v>729</v>
      </c>
      <c r="W23" s="558">
        <v>2026</v>
      </c>
      <c r="X23" s="559" t="s">
        <v>140</v>
      </c>
      <c r="Y23" s="560" t="s">
        <v>140</v>
      </c>
      <c r="Z23" s="561" t="s">
        <v>140</v>
      </c>
      <c r="AA23" s="562" t="s">
        <v>730</v>
      </c>
      <c r="AB23" s="562" t="s">
        <v>731</v>
      </c>
      <c r="AC23" s="95" t="s">
        <v>732</v>
      </c>
      <c r="AD23" s="880"/>
      <c r="AE23" s="883"/>
      <c r="AF23" s="886"/>
      <c r="AG23" s="171" t="s">
        <v>733</v>
      </c>
      <c r="AH23" s="172" t="s">
        <v>734</v>
      </c>
      <c r="AI23" s="172" t="s">
        <v>735</v>
      </c>
      <c r="AJ23" s="172" t="s">
        <v>736</v>
      </c>
      <c r="AK23" s="171" t="s">
        <v>737</v>
      </c>
      <c r="AL23" s="171" t="s">
        <v>35</v>
      </c>
      <c r="AM23" s="171" t="s">
        <v>738</v>
      </c>
      <c r="AN23" s="171" t="s">
        <v>158</v>
      </c>
      <c r="AO23" s="171" t="s">
        <v>739</v>
      </c>
      <c r="AP23" s="172" t="s">
        <v>740</v>
      </c>
      <c r="AQ23" s="172" t="s">
        <v>741</v>
      </c>
      <c r="AR23" s="172" t="s">
        <v>742</v>
      </c>
      <c r="AS23" s="172" t="s">
        <v>743</v>
      </c>
      <c r="AT23" s="171" t="s">
        <v>744</v>
      </c>
      <c r="AU23" s="172" t="s">
        <v>745</v>
      </c>
      <c r="AV23" s="172" t="s">
        <v>746</v>
      </c>
      <c r="AW23" s="172" t="s">
        <v>747</v>
      </c>
      <c r="AX23" s="172" t="s">
        <v>748</v>
      </c>
      <c r="AY23" s="172" t="s">
        <v>749</v>
      </c>
      <c r="AZ23" s="172" t="s">
        <v>750</v>
      </c>
      <c r="BA23" s="172" t="s">
        <v>751</v>
      </c>
      <c r="BB23" s="172" t="s">
        <v>752</v>
      </c>
      <c r="BC23" s="171" t="s">
        <v>43</v>
      </c>
      <c r="BD23" s="171" t="s">
        <v>41</v>
      </c>
      <c r="BE23" s="171" t="s">
        <v>35</v>
      </c>
      <c r="BF23" s="171" t="s">
        <v>158</v>
      </c>
      <c r="BG23" s="171" t="s">
        <v>753</v>
      </c>
      <c r="BH23" s="171" t="s">
        <v>738</v>
      </c>
      <c r="BI23" s="172" t="s">
        <v>35</v>
      </c>
      <c r="BJ23" s="172" t="s">
        <v>738</v>
      </c>
      <c r="BK23" s="172" t="s">
        <v>739</v>
      </c>
      <c r="BL23" s="171" t="s">
        <v>35</v>
      </c>
      <c r="BM23" s="171" t="s">
        <v>739</v>
      </c>
      <c r="BN23" s="172" t="s">
        <v>35</v>
      </c>
      <c r="BO23" s="172" t="s">
        <v>35</v>
      </c>
      <c r="BP23" s="563" t="s">
        <v>740</v>
      </c>
      <c r="BQ23" s="173" t="s">
        <v>754</v>
      </c>
      <c r="BR23" s="171"/>
      <c r="BS23" s="171" t="s">
        <v>71</v>
      </c>
      <c r="BT23" s="172" t="s">
        <v>755</v>
      </c>
      <c r="BU23" s="172" t="s">
        <v>756</v>
      </c>
      <c r="BV23" s="172" t="s">
        <v>757</v>
      </c>
      <c r="BW23" s="278" t="s">
        <v>758</v>
      </c>
      <c r="BX23" s="438" t="s">
        <v>758</v>
      </c>
    </row>
    <row r="24" spans="1:76" hidden="1">
      <c r="A24" s="728"/>
      <c r="B24" s="559" t="s">
        <v>759</v>
      </c>
      <c r="C24" s="559" t="s">
        <v>760</v>
      </c>
      <c r="D24" s="559" t="s">
        <v>761</v>
      </c>
      <c r="E24" s="727">
        <v>46196</v>
      </c>
      <c r="F24" s="568">
        <v>3.47</v>
      </c>
      <c r="G24" s="568">
        <v>3.47</v>
      </c>
      <c r="H24" s="568">
        <v>26</v>
      </c>
      <c r="I24" s="569">
        <f>AG24-J24</f>
        <v>1769.56</v>
      </c>
      <c r="J24" s="570">
        <f>SUM(F24+G24)*H24</f>
        <v>180.44</v>
      </c>
      <c r="K24" s="571">
        <f t="shared" ref="K24" si="0">J24*$K$22</f>
        <v>135.32999999999998</v>
      </c>
      <c r="L24" s="571">
        <f t="shared" ref="L24" si="1">J24*$L$22</f>
        <v>45.11</v>
      </c>
      <c r="M24" s="566">
        <v>8810</v>
      </c>
      <c r="N24" s="568">
        <v>0.1716</v>
      </c>
      <c r="O24" s="602"/>
      <c r="P24" s="568"/>
      <c r="Q24" s="572">
        <f>W24*1.03+O24</f>
        <v>24.205000000000002</v>
      </c>
      <c r="R24" s="572">
        <f>Q24*1.03</f>
        <v>24.931150000000002</v>
      </c>
      <c r="S24" s="573">
        <f>SUM(Q24*((AG24*0.75)-K24))</f>
        <v>32124.149850000005</v>
      </c>
      <c r="T24" s="573">
        <f>SUM(R24*((AG24*0.25)-L24))</f>
        <v>11029.2914485</v>
      </c>
      <c r="U24" s="574">
        <f>S24+T24</f>
        <v>43153.441298500009</v>
      </c>
      <c r="V24" s="575">
        <f>Q24*(AG24*0.75)+R24*(AG24*0.25)</f>
        <v>47553.748124999998</v>
      </c>
      <c r="W24" s="744">
        <v>23.5</v>
      </c>
      <c r="X24" s="576">
        <v>1</v>
      </c>
      <c r="Y24" s="560"/>
      <c r="Z24" s="559"/>
      <c r="AA24" s="560"/>
      <c r="AB24" s="560"/>
      <c r="AD24" s="729" t="str">
        <f>B24</f>
        <v>Ahrens</v>
      </c>
      <c r="AE24" s="729" t="str">
        <f>C24</f>
        <v>Shelly</v>
      </c>
      <c r="AF24" s="730" t="s">
        <v>762</v>
      </c>
      <c r="AG24" s="579">
        <f t="shared" ref="AG24:AG33" si="2">1950*X24</f>
        <v>1950</v>
      </c>
      <c r="AH24" s="731">
        <v>0</v>
      </c>
      <c r="AI24" s="580">
        <f>SUM(AK24:BU24)-AJ24</f>
        <v>41768.383173499999</v>
      </c>
      <c r="AJ24" s="580">
        <f t="shared" ref="AJ24" si="3">(Q24*K24)+(R24*L24)</f>
        <v>4400.3068265000002</v>
      </c>
      <c r="AK24" s="851">
        <v>0</v>
      </c>
      <c r="AL24" s="851">
        <v>0</v>
      </c>
      <c r="AM24" s="851">
        <v>0</v>
      </c>
      <c r="AN24" s="851">
        <v>0</v>
      </c>
      <c r="AO24" s="851">
        <v>0</v>
      </c>
      <c r="AP24" s="852">
        <v>0</v>
      </c>
      <c r="AQ24" s="852">
        <v>0</v>
      </c>
      <c r="AR24" s="852">
        <v>0</v>
      </c>
      <c r="AS24" s="852">
        <v>0</v>
      </c>
      <c r="AT24" s="851">
        <v>36934.949999999997</v>
      </c>
      <c r="AU24" s="852">
        <v>0</v>
      </c>
      <c r="AV24" s="852">
        <v>0</v>
      </c>
      <c r="AW24" s="852">
        <v>0</v>
      </c>
      <c r="AX24" s="852">
        <v>0</v>
      </c>
      <c r="AY24" s="852">
        <v>0</v>
      </c>
      <c r="AZ24" s="852">
        <v>0</v>
      </c>
      <c r="BA24" s="852">
        <v>0</v>
      </c>
      <c r="BB24" s="852">
        <v>0</v>
      </c>
      <c r="BC24" s="851">
        <v>0</v>
      </c>
      <c r="BD24" s="851">
        <v>0</v>
      </c>
      <c r="BE24" s="851">
        <v>0</v>
      </c>
      <c r="BF24" s="851">
        <v>0</v>
      </c>
      <c r="BG24" s="851">
        <v>9233.74</v>
      </c>
      <c r="BH24" s="851">
        <v>0</v>
      </c>
      <c r="BI24" s="852">
        <v>0</v>
      </c>
      <c r="BJ24" s="852">
        <v>0</v>
      </c>
      <c r="BK24" s="852">
        <v>0</v>
      </c>
      <c r="BL24" s="851">
        <v>0</v>
      </c>
      <c r="BM24" s="851">
        <v>0</v>
      </c>
      <c r="BN24" s="852">
        <v>0</v>
      </c>
      <c r="BO24" s="852">
        <v>0</v>
      </c>
      <c r="BP24" s="853"/>
      <c r="BQ24" s="854">
        <v>0</v>
      </c>
      <c r="BR24" s="851">
        <v>0</v>
      </c>
      <c r="BS24" s="851">
        <v>0</v>
      </c>
      <c r="BT24" s="852">
        <v>0</v>
      </c>
      <c r="BU24" s="851">
        <v>0</v>
      </c>
      <c r="BV24" s="581">
        <f t="shared" ref="BV24" si="4">SUM(AK24:BU24)-BU24</f>
        <v>46168.689999999995</v>
      </c>
      <c r="BW24" s="582">
        <f>AI24-AH24</f>
        <v>41768.383173499999</v>
      </c>
      <c r="BX24" s="583">
        <f>100%-(AH24/AI24)</f>
        <v>1</v>
      </c>
    </row>
    <row r="25" spans="1:76" ht="15" hidden="1">
      <c r="A25" s="177">
        <v>213</v>
      </c>
      <c r="B25" s="564" t="s">
        <v>763</v>
      </c>
      <c r="C25" s="565" t="s">
        <v>764</v>
      </c>
      <c r="D25" s="566" t="s">
        <v>765</v>
      </c>
      <c r="E25" s="567">
        <v>44676</v>
      </c>
      <c r="F25" s="568">
        <v>5.19</v>
      </c>
      <c r="G25" s="568">
        <v>3.47</v>
      </c>
      <c r="H25" s="568">
        <v>26</v>
      </c>
      <c r="I25" s="569">
        <f>AG25-J25</f>
        <v>1724.84</v>
      </c>
      <c r="J25" s="570">
        <f>SUM(F25+G25)*H25</f>
        <v>225.16</v>
      </c>
      <c r="K25" s="571">
        <f>J25*$K$22</f>
        <v>168.87</v>
      </c>
      <c r="L25" s="571">
        <f>J25*$L$22</f>
        <v>56.29</v>
      </c>
      <c r="M25" s="568">
        <v>8810</v>
      </c>
      <c r="N25" s="568">
        <v>0.1716</v>
      </c>
      <c r="O25" s="602"/>
      <c r="P25" s="568"/>
      <c r="Q25" s="572">
        <f>W25*1.03+O25</f>
        <v>47.565400000000004</v>
      </c>
      <c r="R25" s="572">
        <f>Q25*1.03</f>
        <v>48.992362000000007</v>
      </c>
      <c r="S25" s="573">
        <f>SUM(Q25*((AG25*0.75)-K25))</f>
        <v>61532.028402000011</v>
      </c>
      <c r="T25" s="573">
        <f>SUM(R25*((AG25*0.25)-L25))</f>
        <v>21125.99641802</v>
      </c>
      <c r="U25" s="574">
        <f>S25+T25</f>
        <v>82658.024820020015</v>
      </c>
      <c r="V25" s="575">
        <f>Q25*(AG25*0.75)+R25*(AG25*0.25)</f>
        <v>93448.173975000012</v>
      </c>
      <c r="W25" s="744">
        <v>46.18</v>
      </c>
      <c r="X25" s="576">
        <v>1</v>
      </c>
      <c r="Y25" s="566">
        <v>1015</v>
      </c>
      <c r="Z25" s="570">
        <f t="shared" ref="Z25:AB33" si="5">A25</f>
        <v>213</v>
      </c>
      <c r="AA25" s="534" t="str">
        <f t="shared" si="5"/>
        <v>Alvarado</v>
      </c>
      <c r="AB25" s="534" t="str">
        <f t="shared" si="5"/>
        <v>Francisco</v>
      </c>
      <c r="AD25" s="577" t="str">
        <f t="shared" ref="AD25:AE28" si="6">AA25</f>
        <v>Alvarado</v>
      </c>
      <c r="AE25" s="578" t="str">
        <f t="shared" si="6"/>
        <v>Francisco</v>
      </c>
      <c r="AF25" s="578" t="s">
        <v>766</v>
      </c>
      <c r="AG25" s="579">
        <f t="shared" si="2"/>
        <v>1950</v>
      </c>
      <c r="AH25" s="580">
        <v>82341</v>
      </c>
      <c r="AI25" s="580">
        <f t="shared" ref="AI25:AI28" si="7">SUM(AK25:BU25)-AJ25</f>
        <v>82658.03084502001</v>
      </c>
      <c r="AJ25" s="580">
        <f t="shared" ref="AJ25:AJ92" si="8">(Q25*K25)+(R25*L25)</f>
        <v>10790.149154980001</v>
      </c>
      <c r="AK25" s="855">
        <v>67282.69</v>
      </c>
      <c r="AL25" s="855">
        <v>934.48</v>
      </c>
      <c r="AM25" s="855">
        <v>4672.41</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8410.34</v>
      </c>
      <c r="BL25" s="855">
        <v>0</v>
      </c>
      <c r="BM25" s="855">
        <v>7475.85</v>
      </c>
      <c r="BN25" s="855">
        <v>0</v>
      </c>
      <c r="BO25" s="855">
        <v>4672.41</v>
      </c>
      <c r="BP25" s="855"/>
      <c r="BQ25" s="855">
        <v>0</v>
      </c>
      <c r="BR25" s="855">
        <v>0</v>
      </c>
      <c r="BS25" s="855">
        <v>0</v>
      </c>
      <c r="BT25" s="855">
        <v>0</v>
      </c>
      <c r="BU25" s="855">
        <v>0</v>
      </c>
      <c r="BV25" s="581">
        <f t="shared" ref="BV25:BV31" si="9">SUM(AK25:BU25)-BU25</f>
        <v>93448.180000000008</v>
      </c>
      <c r="BW25" s="582">
        <f>AI25-AH25</f>
        <v>317.03084502001002</v>
      </c>
      <c r="BX25" s="583">
        <f>100%-(AH25/AI25)</f>
        <v>3.83545121724993E-3</v>
      </c>
    </row>
    <row r="26" spans="1:76" ht="15" hidden="1">
      <c r="A26" s="177">
        <v>196</v>
      </c>
      <c r="B26" s="564" t="s">
        <v>767</v>
      </c>
      <c r="C26" s="565" t="s">
        <v>768</v>
      </c>
      <c r="D26" s="447" t="s">
        <v>769</v>
      </c>
      <c r="E26" s="584">
        <v>44389</v>
      </c>
      <c r="F26" s="570">
        <v>5.19</v>
      </c>
      <c r="G26" s="570">
        <v>3.47</v>
      </c>
      <c r="H26" s="570">
        <v>26</v>
      </c>
      <c r="I26" s="569">
        <f>AG26-J26</f>
        <v>1724.84</v>
      </c>
      <c r="J26" s="570">
        <f>SUM(F26+G26)*H26</f>
        <v>225.16</v>
      </c>
      <c r="K26" s="571">
        <f t="shared" ref="K26:K92" si="10">J26*$K$22</f>
        <v>168.87</v>
      </c>
      <c r="L26" s="571">
        <f t="shared" ref="L26:L92" si="11">J26*$L$22</f>
        <v>56.29</v>
      </c>
      <c r="M26" s="568">
        <v>8810</v>
      </c>
      <c r="N26" s="568">
        <v>0.1716</v>
      </c>
      <c r="O26" s="602"/>
      <c r="P26" s="568"/>
      <c r="Q26" s="572">
        <f>W26*1.03+O26</f>
        <v>31.909400000000002</v>
      </c>
      <c r="R26" s="572">
        <f>Q26*1.03</f>
        <v>32.866682000000004</v>
      </c>
      <c r="S26" s="573">
        <f>SUM(Q26*((AG26*0.75)-K26))</f>
        <v>41278.957122000007</v>
      </c>
      <c r="T26" s="573">
        <f>SUM(R26*((AG26*0.25)-L26))</f>
        <v>14172.441945220002</v>
      </c>
      <c r="U26" s="574">
        <f>S26+T26</f>
        <v>55451.399067220009</v>
      </c>
      <c r="V26" s="575">
        <f>Q26*(AG26*0.75)+R26*(AG26*0.25)</f>
        <v>62690.004975000003</v>
      </c>
      <c r="W26" s="744">
        <v>30.98</v>
      </c>
      <c r="X26" s="576">
        <v>1</v>
      </c>
      <c r="Y26" s="566">
        <v>1005</v>
      </c>
      <c r="Z26" s="570">
        <f t="shared" si="5"/>
        <v>196</v>
      </c>
      <c r="AA26" s="534" t="str">
        <f t="shared" si="5"/>
        <v>Aly</v>
      </c>
      <c r="AB26" s="534" t="str">
        <f t="shared" si="5"/>
        <v>Edita</v>
      </c>
      <c r="AD26" s="577" t="str">
        <f t="shared" si="6"/>
        <v>Aly</v>
      </c>
      <c r="AE26" s="578" t="str">
        <f t="shared" si="6"/>
        <v>Edita</v>
      </c>
      <c r="AF26" s="578" t="s">
        <v>770</v>
      </c>
      <c r="AG26" s="579">
        <f t="shared" si="2"/>
        <v>1950</v>
      </c>
      <c r="AH26" s="580">
        <v>55236</v>
      </c>
      <c r="AI26" s="580">
        <f t="shared" si="7"/>
        <v>55451.394092219998</v>
      </c>
      <c r="AJ26" s="580">
        <f t="shared" si="8"/>
        <v>7238.605907780001</v>
      </c>
      <c r="AK26" s="855">
        <v>0</v>
      </c>
      <c r="AL26" s="855">
        <v>3761.4</v>
      </c>
      <c r="AM26" s="855">
        <v>2507.6</v>
      </c>
      <c r="AN26" s="855">
        <v>0</v>
      </c>
      <c r="AO26" s="855">
        <v>1880.7</v>
      </c>
      <c r="AP26" s="855">
        <v>0</v>
      </c>
      <c r="AQ26" s="855">
        <v>0</v>
      </c>
      <c r="AR26" s="855">
        <v>0</v>
      </c>
      <c r="AS26" s="855">
        <v>0</v>
      </c>
      <c r="AT26" s="855">
        <v>2507.6</v>
      </c>
      <c r="AU26" s="855">
        <v>0</v>
      </c>
      <c r="AV26" s="855">
        <v>0</v>
      </c>
      <c r="AW26" s="855">
        <v>0</v>
      </c>
      <c r="AX26" s="855">
        <v>0</v>
      </c>
      <c r="AY26" s="855">
        <v>2507.6</v>
      </c>
      <c r="AZ26" s="855">
        <v>0</v>
      </c>
      <c r="BA26" s="855">
        <v>0</v>
      </c>
      <c r="BB26" s="855">
        <v>1253.8</v>
      </c>
      <c r="BC26" s="855">
        <v>0</v>
      </c>
      <c r="BD26" s="855">
        <v>0</v>
      </c>
      <c r="BE26" s="855">
        <v>0</v>
      </c>
      <c r="BF26" s="855">
        <v>0</v>
      </c>
      <c r="BG26" s="855">
        <v>1880.7</v>
      </c>
      <c r="BH26" s="855">
        <v>0</v>
      </c>
      <c r="BI26" s="855">
        <v>0</v>
      </c>
      <c r="BJ26" s="855">
        <v>0</v>
      </c>
      <c r="BK26" s="855">
        <v>8776.6</v>
      </c>
      <c r="BL26" s="855">
        <v>0</v>
      </c>
      <c r="BM26" s="855">
        <v>0</v>
      </c>
      <c r="BN26" s="855">
        <v>0</v>
      </c>
      <c r="BO26" s="855">
        <v>0</v>
      </c>
      <c r="BP26" s="855"/>
      <c r="BQ26" s="855">
        <v>0</v>
      </c>
      <c r="BR26" s="855">
        <v>0</v>
      </c>
      <c r="BS26" s="855">
        <v>10657.3</v>
      </c>
      <c r="BT26" s="855">
        <f>15672.5+11284.2</f>
        <v>26956.7</v>
      </c>
      <c r="BU26" s="855">
        <v>0</v>
      </c>
      <c r="BV26" s="581">
        <f t="shared" si="9"/>
        <v>62690</v>
      </c>
      <c r="BW26" s="582">
        <f t="shared" ref="BW26:BW31" si="12">AI26-AH26</f>
        <v>215.39409221999813</v>
      </c>
      <c r="BX26" s="583">
        <f>100%-(AH26/AI26)</f>
        <v>3.8843765020908361E-3</v>
      </c>
    </row>
    <row r="27" spans="1:76" ht="15" hidden="1">
      <c r="A27" s="177">
        <v>246</v>
      </c>
      <c r="B27" s="564" t="s">
        <v>771</v>
      </c>
      <c r="C27" s="565" t="s">
        <v>772</v>
      </c>
      <c r="D27" s="566" t="s">
        <v>773</v>
      </c>
      <c r="E27" s="567">
        <v>45054</v>
      </c>
      <c r="F27" s="568">
        <v>3.47</v>
      </c>
      <c r="G27" s="568">
        <v>3.47</v>
      </c>
      <c r="H27" s="568">
        <v>26</v>
      </c>
      <c r="I27" s="569">
        <f>AG27-J27</f>
        <v>1769.56</v>
      </c>
      <c r="J27" s="570">
        <f>SUM(F27+G27)*H27</f>
        <v>180.44</v>
      </c>
      <c r="K27" s="571">
        <f t="shared" si="10"/>
        <v>135.32999999999998</v>
      </c>
      <c r="L27" s="571">
        <f t="shared" si="11"/>
        <v>45.11</v>
      </c>
      <c r="M27" s="566">
        <v>8810</v>
      </c>
      <c r="N27" s="568">
        <v>0.1716</v>
      </c>
      <c r="O27" s="602"/>
      <c r="P27" s="568"/>
      <c r="Q27" s="572">
        <f>W27*1.03+O27</f>
        <v>25.008400000000002</v>
      </c>
      <c r="R27" s="572">
        <f>Q27*1.03</f>
        <v>25.758652000000001</v>
      </c>
      <c r="S27" s="573">
        <f>SUM(Q27*((AG27*0.75)-K27))</f>
        <v>33190.398228000005</v>
      </c>
      <c r="T27" s="573">
        <f>SUM(R27*((AG27*0.25)-L27))</f>
        <v>11395.370058280001</v>
      </c>
      <c r="U27" s="574">
        <f>S27+T27</f>
        <v>44585.768286280007</v>
      </c>
      <c r="V27" s="575">
        <f>Q27*(AG27*0.75)+R27*(AG27*0.25)</f>
        <v>49132.127850000004</v>
      </c>
      <c r="W27" s="744">
        <v>24.28</v>
      </c>
      <c r="X27" s="576">
        <v>1</v>
      </c>
      <c r="Y27" s="566">
        <v>1005</v>
      </c>
      <c r="Z27" s="570">
        <f>A27</f>
        <v>246</v>
      </c>
      <c r="AA27" s="534" t="str">
        <f t="shared" si="5"/>
        <v>Arciniegas</v>
      </c>
      <c r="AB27" s="534" t="str">
        <f t="shared" si="5"/>
        <v>Jessica</v>
      </c>
      <c r="AD27" s="577" t="str">
        <f t="shared" si="6"/>
        <v>Arciniegas</v>
      </c>
      <c r="AE27" s="578" t="str">
        <f t="shared" si="6"/>
        <v>Jessica</v>
      </c>
      <c r="AF27" s="578" t="s">
        <v>774</v>
      </c>
      <c r="AG27" s="579">
        <f t="shared" si="2"/>
        <v>1950</v>
      </c>
      <c r="AH27" s="580">
        <v>43282</v>
      </c>
      <c r="AI27" s="580">
        <f t="shared" si="7"/>
        <v>44585.750436279995</v>
      </c>
      <c r="AJ27" s="580">
        <f t="shared" si="8"/>
        <v>4546.3595637199996</v>
      </c>
      <c r="AK27" s="855">
        <v>0</v>
      </c>
      <c r="AL27" s="855">
        <v>20144.169999999998</v>
      </c>
      <c r="AM27" s="855">
        <v>7861.14</v>
      </c>
      <c r="AN27" s="855">
        <v>491.32</v>
      </c>
      <c r="AO27" s="855">
        <v>0</v>
      </c>
      <c r="AP27" s="855">
        <v>982.64</v>
      </c>
      <c r="AQ27" s="855">
        <v>0</v>
      </c>
      <c r="AR27" s="855">
        <v>0</v>
      </c>
      <c r="AS27" s="855">
        <v>0</v>
      </c>
      <c r="AT27" s="855">
        <v>0</v>
      </c>
      <c r="AU27" s="855">
        <v>0</v>
      </c>
      <c r="AV27" s="855">
        <v>0</v>
      </c>
      <c r="AW27" s="855">
        <v>0</v>
      </c>
      <c r="AX27" s="855">
        <v>0</v>
      </c>
      <c r="AY27" s="855">
        <v>0</v>
      </c>
      <c r="AZ27" s="855">
        <v>0</v>
      </c>
      <c r="BA27" s="855">
        <v>0</v>
      </c>
      <c r="BB27" s="855">
        <v>0</v>
      </c>
      <c r="BC27" s="855">
        <v>0</v>
      </c>
      <c r="BD27" s="855">
        <v>1473.96</v>
      </c>
      <c r="BE27" s="855">
        <v>0</v>
      </c>
      <c r="BF27" s="855">
        <v>491.32</v>
      </c>
      <c r="BG27" s="855">
        <v>0</v>
      </c>
      <c r="BH27" s="855">
        <v>0</v>
      </c>
      <c r="BI27" s="855">
        <v>0</v>
      </c>
      <c r="BJ27" s="855">
        <v>491.32</v>
      </c>
      <c r="BK27" s="855">
        <v>12283.03</v>
      </c>
      <c r="BL27" s="855">
        <v>0</v>
      </c>
      <c r="BM27" s="855">
        <v>4913.21</v>
      </c>
      <c r="BN27" s="855">
        <v>0</v>
      </c>
      <c r="BO27" s="855">
        <v>0</v>
      </c>
      <c r="BP27" s="855"/>
      <c r="BQ27" s="855">
        <v>0</v>
      </c>
      <c r="BR27" s="855"/>
      <c r="BS27" s="855">
        <v>0</v>
      </c>
      <c r="BT27" s="855">
        <v>0</v>
      </c>
      <c r="BU27" s="855">
        <v>0</v>
      </c>
      <c r="BV27" s="581">
        <f t="shared" si="9"/>
        <v>49132.109999999993</v>
      </c>
      <c r="BW27" s="582">
        <f t="shared" si="12"/>
        <v>1303.7504362799955</v>
      </c>
      <c r="BX27" s="583">
        <f t="shared" ref="BX27:BX31" si="13">100%-(AH27/AI27)</f>
        <v>2.9241415105107582E-2</v>
      </c>
    </row>
    <row r="28" spans="1:76" ht="15" hidden="1">
      <c r="A28" s="177">
        <v>149</v>
      </c>
      <c r="B28" s="585" t="s">
        <v>775</v>
      </c>
      <c r="C28" s="586" t="s">
        <v>776</v>
      </c>
      <c r="D28" s="566" t="s">
        <v>769</v>
      </c>
      <c r="E28" s="567">
        <v>45082</v>
      </c>
      <c r="F28" s="568">
        <v>3.47</v>
      </c>
      <c r="G28" s="568">
        <v>3.47</v>
      </c>
      <c r="H28" s="566">
        <v>26</v>
      </c>
      <c r="I28" s="569">
        <f>AG28-J28</f>
        <v>1769.56</v>
      </c>
      <c r="J28" s="570">
        <f>SUM(F28+G28)*H28</f>
        <v>180.44</v>
      </c>
      <c r="K28" s="571">
        <f t="shared" si="10"/>
        <v>135.32999999999998</v>
      </c>
      <c r="L28" s="571">
        <f t="shared" si="11"/>
        <v>45.11</v>
      </c>
      <c r="M28" s="566">
        <v>8742</v>
      </c>
      <c r="N28" s="568">
        <v>0.35399999999999998</v>
      </c>
      <c r="O28" s="602"/>
      <c r="P28" s="568"/>
      <c r="Q28" s="572">
        <f>W28*1.03+O28</f>
        <v>26.522500000000001</v>
      </c>
      <c r="R28" s="572">
        <f>Q28*1.03</f>
        <v>27.318175</v>
      </c>
      <c r="S28" s="573">
        <f>SUM(Q28*((AG28*0.75)-K28))</f>
        <v>35199.866325000003</v>
      </c>
      <c r="T28" s="573">
        <f>SUM(R28*((AG28*0.25)-L28))</f>
        <v>12085.287438249999</v>
      </c>
      <c r="U28" s="574">
        <f>S28+T28</f>
        <v>47285.153763250004</v>
      </c>
      <c r="V28" s="575">
        <f>Q28*(AG28*0.75)+R28*(AG28*0.25)</f>
        <v>52106.766562500001</v>
      </c>
      <c r="W28" s="744">
        <v>25.75</v>
      </c>
      <c r="X28" s="576">
        <v>1</v>
      </c>
      <c r="Y28" s="566">
        <v>1065</v>
      </c>
      <c r="Z28" s="570">
        <f>A28</f>
        <v>149</v>
      </c>
      <c r="AA28" s="534" t="str">
        <f t="shared" si="5"/>
        <v>Arias</v>
      </c>
      <c r="AB28" s="534" t="str">
        <f t="shared" si="5"/>
        <v>Michelle</v>
      </c>
      <c r="AD28" s="577" t="str">
        <f t="shared" si="6"/>
        <v>Arias</v>
      </c>
      <c r="AE28" s="578" t="str">
        <f t="shared" si="6"/>
        <v>Michelle</v>
      </c>
      <c r="AF28" s="578" t="s">
        <v>777</v>
      </c>
      <c r="AG28" s="579">
        <f t="shared" si="2"/>
        <v>1950</v>
      </c>
      <c r="AH28" s="580">
        <v>0</v>
      </c>
      <c r="AI28" s="580">
        <f t="shared" si="7"/>
        <v>0</v>
      </c>
      <c r="AJ28" s="580">
        <f>SUM(AL28:BV28)-AK28</f>
        <v>52106.76</v>
      </c>
      <c r="AK28" s="855">
        <v>0</v>
      </c>
      <c r="AL28" s="855">
        <v>0</v>
      </c>
      <c r="AM28" s="855">
        <v>0</v>
      </c>
      <c r="AN28" s="855">
        <v>0</v>
      </c>
      <c r="AO28" s="855">
        <v>0</v>
      </c>
      <c r="AP28" s="855">
        <v>0</v>
      </c>
      <c r="AQ28" s="855">
        <v>0</v>
      </c>
      <c r="AR28" s="855">
        <v>0</v>
      </c>
      <c r="AS28" s="855">
        <v>0</v>
      </c>
      <c r="AT28" s="855">
        <v>0</v>
      </c>
      <c r="AU28" s="855">
        <v>0</v>
      </c>
      <c r="AV28" s="855">
        <v>0</v>
      </c>
      <c r="AW28" s="855">
        <v>0</v>
      </c>
      <c r="AX28" s="855">
        <v>0</v>
      </c>
      <c r="AY28" s="855">
        <v>0</v>
      </c>
      <c r="AZ28" s="855">
        <v>0</v>
      </c>
      <c r="BA28" s="855">
        <v>0</v>
      </c>
      <c r="BB28" s="855">
        <v>0</v>
      </c>
      <c r="BC28" s="855">
        <v>0</v>
      </c>
      <c r="BD28" s="855">
        <v>0</v>
      </c>
      <c r="BE28" s="855">
        <v>0</v>
      </c>
      <c r="BF28" s="855">
        <v>0</v>
      </c>
      <c r="BG28" s="855">
        <v>0</v>
      </c>
      <c r="BH28" s="855">
        <v>0</v>
      </c>
      <c r="BI28" s="855">
        <v>0</v>
      </c>
      <c r="BJ28" s="855">
        <v>0</v>
      </c>
      <c r="BK28" s="855">
        <v>0</v>
      </c>
      <c r="BL28" s="855">
        <v>0</v>
      </c>
      <c r="BM28" s="855">
        <v>0</v>
      </c>
      <c r="BN28" s="855">
        <v>0</v>
      </c>
      <c r="BO28" s="855">
        <v>0</v>
      </c>
      <c r="BP28" s="855"/>
      <c r="BQ28" s="855">
        <v>0</v>
      </c>
      <c r="BR28" s="855"/>
      <c r="BS28" s="855">
        <v>0</v>
      </c>
      <c r="BT28" s="855">
        <v>0</v>
      </c>
      <c r="BU28" s="855">
        <f>39080.07+13026.69</f>
        <v>52106.76</v>
      </c>
      <c r="BV28" s="581">
        <f t="shared" si="9"/>
        <v>0</v>
      </c>
      <c r="BW28" s="582">
        <f>AI28-AH28</f>
        <v>0</v>
      </c>
      <c r="BX28" s="583">
        <v>0</v>
      </c>
    </row>
    <row r="29" spans="1:76" ht="15" hidden="1">
      <c r="A29" s="177"/>
      <c r="B29" s="585" t="s">
        <v>778</v>
      </c>
      <c r="C29" s="586" t="s">
        <v>779</v>
      </c>
      <c r="D29" s="566"/>
      <c r="E29" s="567"/>
      <c r="F29" s="568"/>
      <c r="G29" s="568"/>
      <c r="H29" s="566"/>
      <c r="I29" s="569"/>
      <c r="J29" s="570"/>
      <c r="K29" s="571"/>
      <c r="L29" s="571"/>
      <c r="M29" s="566"/>
      <c r="N29" s="568"/>
      <c r="O29" s="602"/>
      <c r="P29" s="568"/>
      <c r="Q29" s="572"/>
      <c r="R29" s="572"/>
      <c r="S29" s="573"/>
      <c r="T29" s="573"/>
      <c r="U29" s="574"/>
      <c r="V29" s="575"/>
      <c r="W29" s="744"/>
      <c r="X29" s="576"/>
      <c r="Y29" s="566">
        <v>1039</v>
      </c>
      <c r="Z29" s="570"/>
      <c r="AA29" s="534" t="str">
        <f>B29</f>
        <v>Armstrong</v>
      </c>
      <c r="AB29" s="534" t="str">
        <f>C29</f>
        <v>Cheyenne</v>
      </c>
      <c r="AD29" s="577" t="str">
        <f>AA29</f>
        <v>Armstrong</v>
      </c>
      <c r="AE29" s="578" t="str">
        <f>AB29</f>
        <v>Cheyenne</v>
      </c>
      <c r="AF29" s="578" t="s">
        <v>780</v>
      </c>
      <c r="AG29" s="579">
        <f>1950*X29</f>
        <v>0</v>
      </c>
      <c r="AH29" s="580">
        <v>35657</v>
      </c>
      <c r="AI29" s="580">
        <f t="shared" ref="AI29:AI34" si="14">SUM(AK29:BU29)-AJ29</f>
        <v>0</v>
      </c>
      <c r="AJ29" s="580">
        <f t="shared" ref="AJ29" si="15">(Q29*K29)+(R29*L29)</f>
        <v>0</v>
      </c>
      <c r="AK29" s="855">
        <v>0</v>
      </c>
      <c r="AL29" s="855">
        <v>0</v>
      </c>
      <c r="AM29" s="855">
        <v>0</v>
      </c>
      <c r="AN29" s="855">
        <v>0</v>
      </c>
      <c r="AO29" s="855">
        <v>0</v>
      </c>
      <c r="AP29" s="855">
        <v>0</v>
      </c>
      <c r="AQ29" s="855">
        <v>0</v>
      </c>
      <c r="AR29" s="855">
        <v>0</v>
      </c>
      <c r="AS29" s="855">
        <v>0</v>
      </c>
      <c r="AT29" s="855">
        <v>0</v>
      </c>
      <c r="AU29" s="855">
        <v>0</v>
      </c>
      <c r="AV29" s="855">
        <v>0</v>
      </c>
      <c r="AW29" s="855">
        <v>0</v>
      </c>
      <c r="AX29" s="855">
        <v>0</v>
      </c>
      <c r="AY29" s="855">
        <v>0</v>
      </c>
      <c r="AZ29" s="855">
        <v>0</v>
      </c>
      <c r="BA29" s="855">
        <v>0</v>
      </c>
      <c r="BB29" s="855">
        <v>0</v>
      </c>
      <c r="BC29" s="855">
        <v>0</v>
      </c>
      <c r="BD29" s="855">
        <v>0</v>
      </c>
      <c r="BE29" s="855">
        <v>0</v>
      </c>
      <c r="BF29" s="855">
        <v>0</v>
      </c>
      <c r="BG29" s="855">
        <v>0</v>
      </c>
      <c r="BH29" s="855">
        <v>0</v>
      </c>
      <c r="BI29" s="855">
        <v>0</v>
      </c>
      <c r="BJ29" s="855">
        <v>0</v>
      </c>
      <c r="BK29" s="855">
        <v>0</v>
      </c>
      <c r="BL29" s="855">
        <v>0</v>
      </c>
      <c r="BM29" s="855">
        <v>0</v>
      </c>
      <c r="BN29" s="855">
        <v>0</v>
      </c>
      <c r="BO29" s="855">
        <v>0</v>
      </c>
      <c r="BP29" s="855"/>
      <c r="BQ29" s="855">
        <v>0</v>
      </c>
      <c r="BR29" s="855"/>
      <c r="BS29" s="855">
        <v>0</v>
      </c>
      <c r="BT29" s="855">
        <v>0</v>
      </c>
      <c r="BU29" s="855">
        <v>0</v>
      </c>
      <c r="BV29" s="581">
        <f t="shared" si="9"/>
        <v>0</v>
      </c>
      <c r="BW29" s="582">
        <f>AI29-AH29</f>
        <v>-35657</v>
      </c>
      <c r="BX29" s="583">
        <v>0</v>
      </c>
    </row>
    <row r="30" spans="1:76" ht="15" hidden="1">
      <c r="A30" s="177">
        <v>9</v>
      </c>
      <c r="B30" s="564" t="s">
        <v>781</v>
      </c>
      <c r="C30" s="565" t="s">
        <v>782</v>
      </c>
      <c r="D30" s="568" t="s">
        <v>761</v>
      </c>
      <c r="E30" s="587">
        <v>34526</v>
      </c>
      <c r="F30" s="568">
        <v>6.92</v>
      </c>
      <c r="G30" s="568">
        <v>3.47</v>
      </c>
      <c r="H30" s="568">
        <v>26</v>
      </c>
      <c r="I30" s="569">
        <f t="shared" ref="I30:I43" si="16">AG30-J30</f>
        <v>1679.8600000000001</v>
      </c>
      <c r="J30" s="570">
        <f t="shared" ref="J30:J40" si="17">SUM(F30+G30)*H30</f>
        <v>270.14</v>
      </c>
      <c r="K30" s="571">
        <f t="shared" si="10"/>
        <v>202.60499999999999</v>
      </c>
      <c r="L30" s="571">
        <f t="shared" si="11"/>
        <v>67.534999999999997</v>
      </c>
      <c r="M30" s="568">
        <v>8810</v>
      </c>
      <c r="N30" s="568">
        <v>0.1716</v>
      </c>
      <c r="O30" s="602"/>
      <c r="P30" s="568"/>
      <c r="Q30" s="572">
        <f>W30</f>
        <v>47.802266666666668</v>
      </c>
      <c r="R30" s="572">
        <f>Q30</f>
        <v>47.802266666666668</v>
      </c>
      <c r="S30" s="573">
        <f t="shared" ref="S30:S43" si="18">SUM(Q30*((AG30*0.75)-K30))</f>
        <v>60225.836761999999</v>
      </c>
      <c r="T30" s="573">
        <f t="shared" ref="T30:T43" si="19">SUM(R30*((AG30*0.25)-L30))</f>
        <v>20075.278920666668</v>
      </c>
      <c r="U30" s="574">
        <f>S30+T30</f>
        <v>80301.11568266667</v>
      </c>
      <c r="V30" s="575">
        <f t="shared" ref="V30:V43" si="20">Q30*(AG30*0.75)+R30*(AG30*0.25)</f>
        <v>93214.42</v>
      </c>
      <c r="W30" s="744">
        <f>3585.17/75</f>
        <v>47.802266666666668</v>
      </c>
      <c r="X30" s="588">
        <v>1</v>
      </c>
      <c r="Y30" s="589">
        <v>1005</v>
      </c>
      <c r="Z30" s="570">
        <f>A30</f>
        <v>9</v>
      </c>
      <c r="AA30" s="534" t="str">
        <f t="shared" si="5"/>
        <v>Ayers</v>
      </c>
      <c r="AB30" s="534" t="str">
        <f t="shared" si="5"/>
        <v>Hubert</v>
      </c>
      <c r="AD30" s="577" t="str">
        <f t="shared" ref="AD30:AE31" si="21">AA30</f>
        <v>Ayers</v>
      </c>
      <c r="AE30" s="578" t="str">
        <f t="shared" si="21"/>
        <v>Hubert</v>
      </c>
      <c r="AF30" s="578" t="s">
        <v>783</v>
      </c>
      <c r="AG30" s="579">
        <f t="shared" si="2"/>
        <v>1950</v>
      </c>
      <c r="AH30" s="580">
        <v>83326</v>
      </c>
      <c r="AI30" s="580">
        <f t="shared" si="14"/>
        <v>80296.695682666686</v>
      </c>
      <c r="AJ30" s="580">
        <f t="shared" si="8"/>
        <v>12913.304317333334</v>
      </c>
      <c r="AK30" s="855">
        <v>0</v>
      </c>
      <c r="AL30" s="855">
        <v>39148.199999999997</v>
      </c>
      <c r="AM30" s="855">
        <v>7456.8</v>
      </c>
      <c r="AN30" s="855">
        <v>0</v>
      </c>
      <c r="AO30" s="855">
        <v>0</v>
      </c>
      <c r="AP30" s="855">
        <v>0</v>
      </c>
      <c r="AQ30" s="855">
        <v>0</v>
      </c>
      <c r="AR30" s="855">
        <v>0</v>
      </c>
      <c r="AS30" s="855">
        <v>0</v>
      </c>
      <c r="AT30" s="855">
        <v>2796.3</v>
      </c>
      <c r="AU30" s="855">
        <v>0</v>
      </c>
      <c r="AV30" s="855">
        <v>0</v>
      </c>
      <c r="AW30" s="855">
        <v>0</v>
      </c>
      <c r="AX30" s="855">
        <v>0</v>
      </c>
      <c r="AY30" s="855">
        <v>0</v>
      </c>
      <c r="AZ30" s="855">
        <v>0</v>
      </c>
      <c r="BA30" s="855">
        <v>0</v>
      </c>
      <c r="BB30" s="855">
        <v>0</v>
      </c>
      <c r="BC30" s="855">
        <v>0</v>
      </c>
      <c r="BD30" s="855">
        <v>1864.2</v>
      </c>
      <c r="BE30" s="855">
        <v>0</v>
      </c>
      <c r="BF30" s="855">
        <v>0</v>
      </c>
      <c r="BG30" s="855">
        <v>0</v>
      </c>
      <c r="BH30" s="855">
        <v>0</v>
      </c>
      <c r="BI30" s="855">
        <v>2796.3</v>
      </c>
      <c r="BJ30" s="855">
        <v>0</v>
      </c>
      <c r="BK30" s="855">
        <v>18642</v>
      </c>
      <c r="BL30" s="855">
        <v>0</v>
      </c>
      <c r="BM30" s="855">
        <v>9321</v>
      </c>
      <c r="BN30" s="855">
        <v>932.1</v>
      </c>
      <c r="BO30" s="855">
        <v>4660.5</v>
      </c>
      <c r="BP30" s="855"/>
      <c r="BQ30" s="855">
        <v>0</v>
      </c>
      <c r="BR30" s="855"/>
      <c r="BS30" s="855">
        <v>0</v>
      </c>
      <c r="BT30" s="855">
        <v>0</v>
      </c>
      <c r="BU30" s="855">
        <f>3728.4+1864.2</f>
        <v>5592.6</v>
      </c>
      <c r="BV30" s="581">
        <f t="shared" si="9"/>
        <v>87617.400000000009</v>
      </c>
      <c r="BW30" s="582">
        <f t="shared" si="12"/>
        <v>-3029.3043173333135</v>
      </c>
      <c r="BX30" s="583">
        <f t="shared" si="13"/>
        <v>-3.7726388260173938E-2</v>
      </c>
    </row>
    <row r="31" spans="1:76" ht="15" hidden="1">
      <c r="A31" s="177">
        <v>80</v>
      </c>
      <c r="B31" s="564" t="s">
        <v>784</v>
      </c>
      <c r="C31" s="565" t="s">
        <v>785</v>
      </c>
      <c r="D31" s="566" t="s">
        <v>765</v>
      </c>
      <c r="E31" s="567">
        <v>38607</v>
      </c>
      <c r="F31" s="568">
        <v>6.92</v>
      </c>
      <c r="G31" s="568">
        <v>3.47</v>
      </c>
      <c r="H31" s="568">
        <v>26</v>
      </c>
      <c r="I31" s="569">
        <f t="shared" si="16"/>
        <v>1679.8600000000001</v>
      </c>
      <c r="J31" s="570">
        <f t="shared" si="17"/>
        <v>270.14</v>
      </c>
      <c r="K31" s="571">
        <f t="shared" si="10"/>
        <v>202.60499999999999</v>
      </c>
      <c r="L31" s="571">
        <f t="shared" si="11"/>
        <v>67.534999999999997</v>
      </c>
      <c r="M31" s="568">
        <v>8810</v>
      </c>
      <c r="N31" s="568">
        <v>0.1716</v>
      </c>
      <c r="O31" s="602"/>
      <c r="P31" s="568"/>
      <c r="Q31" s="572">
        <f>W31*1.03</f>
        <v>45.165500000000002</v>
      </c>
      <c r="R31" s="572">
        <f>Q31*1.03</f>
        <v>46.520465000000002</v>
      </c>
      <c r="S31" s="573">
        <f t="shared" si="18"/>
        <v>56903.7876225</v>
      </c>
      <c r="T31" s="573">
        <f t="shared" si="19"/>
        <v>19536.967083725001</v>
      </c>
      <c r="U31" s="574">
        <f>S31+T31</f>
        <v>76440.754706225009</v>
      </c>
      <c r="V31" s="575">
        <f t="shared" si="20"/>
        <v>88733.270437500003</v>
      </c>
      <c r="W31" s="744">
        <v>43.85</v>
      </c>
      <c r="X31" s="576">
        <v>1</v>
      </c>
      <c r="Y31" s="566">
        <v>1010</v>
      </c>
      <c r="Z31" s="570">
        <f t="shared" ref="Z31:AB47" si="22">A31</f>
        <v>80</v>
      </c>
      <c r="AA31" s="534" t="str">
        <f t="shared" si="5"/>
        <v>Barrows</v>
      </c>
      <c r="AB31" s="534" t="str">
        <f t="shared" si="5"/>
        <v>Tracy</v>
      </c>
      <c r="AD31" s="577" t="str">
        <f t="shared" si="21"/>
        <v>Barrows</v>
      </c>
      <c r="AE31" s="578" t="str">
        <f t="shared" si="21"/>
        <v>Tracy</v>
      </c>
      <c r="AF31" s="578" t="s">
        <v>786</v>
      </c>
      <c r="AG31" s="579">
        <f t="shared" si="2"/>
        <v>1950</v>
      </c>
      <c r="AH31" s="580">
        <v>66183</v>
      </c>
      <c r="AI31" s="580">
        <f t="shared" si="14"/>
        <v>76432.964268725016</v>
      </c>
      <c r="AJ31" s="580">
        <f t="shared" si="8"/>
        <v>12292.515731275002</v>
      </c>
      <c r="AK31" s="855">
        <v>7098.04</v>
      </c>
      <c r="AL31" s="855">
        <v>1774.51</v>
      </c>
      <c r="AM31" s="855">
        <v>22181.37</v>
      </c>
      <c r="AN31" s="855">
        <v>0</v>
      </c>
      <c r="AO31" s="855">
        <v>13308.82</v>
      </c>
      <c r="AP31" s="855">
        <v>0</v>
      </c>
      <c r="AQ31" s="855">
        <v>0</v>
      </c>
      <c r="AR31" s="855">
        <v>0</v>
      </c>
      <c r="AS31" s="855">
        <v>0</v>
      </c>
      <c r="AT31" s="855">
        <v>0</v>
      </c>
      <c r="AU31" s="855">
        <v>0</v>
      </c>
      <c r="AV31" s="855">
        <v>0</v>
      </c>
      <c r="AW31" s="855">
        <v>0</v>
      </c>
      <c r="AX31" s="855">
        <v>0</v>
      </c>
      <c r="AY31" s="855">
        <v>0</v>
      </c>
      <c r="AZ31" s="855">
        <v>0</v>
      </c>
      <c r="BA31" s="855">
        <v>0</v>
      </c>
      <c r="BB31" s="855">
        <v>0</v>
      </c>
      <c r="BC31" s="855">
        <v>0</v>
      </c>
      <c r="BD31" s="855">
        <v>0</v>
      </c>
      <c r="BE31" s="855">
        <v>0</v>
      </c>
      <c r="BF31" s="855">
        <v>0</v>
      </c>
      <c r="BG31" s="855">
        <v>0</v>
      </c>
      <c r="BH31" s="855">
        <v>6210.78</v>
      </c>
      <c r="BI31" s="855">
        <v>0</v>
      </c>
      <c r="BJ31" s="855">
        <v>20406.86</v>
      </c>
      <c r="BK31" s="855">
        <v>17745.099999999999</v>
      </c>
      <c r="BL31" s="855">
        <v>0</v>
      </c>
      <c r="BM31" s="855">
        <v>0</v>
      </c>
      <c r="BN31" s="855">
        <v>0</v>
      </c>
      <c r="BO31" s="855">
        <v>0</v>
      </c>
      <c r="BP31" s="855"/>
      <c r="BQ31" s="855">
        <v>0</v>
      </c>
      <c r="BR31" s="855"/>
      <c r="BS31" s="855">
        <v>0</v>
      </c>
      <c r="BT31" s="855">
        <v>0</v>
      </c>
      <c r="BU31" s="855">
        <v>0</v>
      </c>
      <c r="BV31" s="581">
        <f t="shared" si="9"/>
        <v>88725.48000000001</v>
      </c>
      <c r="BW31" s="582">
        <f t="shared" si="12"/>
        <v>10249.964268725016</v>
      </c>
      <c r="BX31" s="583">
        <f t="shared" si="13"/>
        <v>0.13410397420526465</v>
      </c>
    </row>
    <row r="32" spans="1:76" ht="15" hidden="1">
      <c r="A32" s="177"/>
      <c r="B32" s="564" t="s">
        <v>787</v>
      </c>
      <c r="C32" s="565" t="s">
        <v>788</v>
      </c>
      <c r="D32" s="566" t="s">
        <v>761</v>
      </c>
      <c r="E32" s="567">
        <v>46142</v>
      </c>
      <c r="F32" s="568">
        <v>3.47</v>
      </c>
      <c r="G32" s="568">
        <v>3.47</v>
      </c>
      <c r="H32" s="568">
        <v>26</v>
      </c>
      <c r="I32" s="569">
        <f t="shared" si="16"/>
        <v>1769.56</v>
      </c>
      <c r="J32" s="570">
        <f t="shared" si="17"/>
        <v>180.44</v>
      </c>
      <c r="K32" s="571">
        <f t="shared" ref="K32" si="23">J32*$K$22</f>
        <v>135.32999999999998</v>
      </c>
      <c r="L32" s="571">
        <f t="shared" ref="L32" si="24">J32*$L$22</f>
        <v>45.11</v>
      </c>
      <c r="M32" s="566">
        <v>8810</v>
      </c>
      <c r="N32" s="568">
        <v>0.1716</v>
      </c>
      <c r="O32" s="602"/>
      <c r="P32" s="568"/>
      <c r="Q32" s="572">
        <f>W32*1.03+O32</f>
        <v>33.279300000000006</v>
      </c>
      <c r="R32" s="572">
        <f>Q32*1.03</f>
        <v>34.277679000000006</v>
      </c>
      <c r="S32" s="573">
        <f t="shared" si="18"/>
        <v>44167.288581000008</v>
      </c>
      <c r="T32" s="573">
        <f t="shared" si="19"/>
        <v>15164.102412810002</v>
      </c>
      <c r="U32" s="574">
        <f>S32+T32</f>
        <v>59331.390993810011</v>
      </c>
      <c r="V32" s="575">
        <f t="shared" si="20"/>
        <v>65381.344762500012</v>
      </c>
      <c r="W32" s="744">
        <v>32.31</v>
      </c>
      <c r="X32" s="576">
        <v>1</v>
      </c>
      <c r="Y32" s="566"/>
      <c r="Z32" s="570"/>
      <c r="AA32" s="534"/>
      <c r="AB32" s="534"/>
      <c r="AD32" s="577" t="str">
        <f>B32</f>
        <v>Bowers</v>
      </c>
      <c r="AE32" s="577" t="str">
        <f>C32</f>
        <v>Terry</v>
      </c>
      <c r="AF32" s="578" t="s">
        <v>789</v>
      </c>
      <c r="AG32" s="579">
        <f t="shared" si="2"/>
        <v>1950</v>
      </c>
      <c r="AH32" s="580">
        <v>0</v>
      </c>
      <c r="AI32" s="580">
        <f t="shared" si="14"/>
        <v>59331.386231309996</v>
      </c>
      <c r="AJ32" s="580">
        <f t="shared" ref="AJ32" si="25">(Q32*K32)+(R32*L32)</f>
        <v>6049.9537686900003</v>
      </c>
      <c r="AK32" s="855">
        <v>0</v>
      </c>
      <c r="AL32" s="855">
        <v>0</v>
      </c>
      <c r="AM32" s="855">
        <v>0</v>
      </c>
      <c r="AN32" s="855">
        <v>0</v>
      </c>
      <c r="AO32" s="855">
        <v>0</v>
      </c>
      <c r="AP32" s="855">
        <v>0</v>
      </c>
      <c r="AQ32" s="855">
        <v>0</v>
      </c>
      <c r="AR32" s="855">
        <v>0</v>
      </c>
      <c r="AS32" s="855">
        <v>0</v>
      </c>
      <c r="AT32" s="855">
        <v>0</v>
      </c>
      <c r="AU32" s="855">
        <v>0</v>
      </c>
      <c r="AV32" s="855">
        <v>0</v>
      </c>
      <c r="AW32" s="855">
        <v>0</v>
      </c>
      <c r="AX32" s="855">
        <v>0</v>
      </c>
      <c r="AY32" s="855">
        <v>0</v>
      </c>
      <c r="AZ32" s="855">
        <v>0</v>
      </c>
      <c r="BA32" s="855">
        <v>0</v>
      </c>
      <c r="BB32" s="855">
        <v>0</v>
      </c>
      <c r="BC32" s="855">
        <v>0</v>
      </c>
      <c r="BD32" s="855">
        <v>0</v>
      </c>
      <c r="BE32" s="855">
        <v>0</v>
      </c>
      <c r="BF32" s="855">
        <v>0</v>
      </c>
      <c r="BG32" s="855">
        <v>0</v>
      </c>
      <c r="BH32" s="855">
        <v>0</v>
      </c>
      <c r="BI32" s="855">
        <v>0</v>
      </c>
      <c r="BJ32" s="855">
        <v>0</v>
      </c>
      <c r="BK32" s="855">
        <v>0</v>
      </c>
      <c r="BL32" s="855">
        <v>0</v>
      </c>
      <c r="BM32" s="855">
        <v>0</v>
      </c>
      <c r="BN32" s="855">
        <v>0</v>
      </c>
      <c r="BO32" s="855">
        <v>0</v>
      </c>
      <c r="BP32" s="855"/>
      <c r="BQ32" s="855">
        <v>0</v>
      </c>
      <c r="BR32" s="855"/>
      <c r="BS32" s="855">
        <v>39228.81</v>
      </c>
      <c r="BT32" s="855">
        <f>19614.4+6538.13</f>
        <v>26152.530000000002</v>
      </c>
      <c r="BU32" s="855">
        <v>0</v>
      </c>
      <c r="BV32" s="581">
        <f t="shared" ref="BV32:BV96" si="26">SUM(AK32:BU32)-BU32</f>
        <v>65381.34</v>
      </c>
      <c r="BW32" s="582">
        <f t="shared" ref="BW32:BW96" si="27">AI32-AH32</f>
        <v>59331.386231309996</v>
      </c>
      <c r="BX32" s="583">
        <f t="shared" ref="BX32:BX96" si="28">100%-(AH32/AI32)</f>
        <v>1</v>
      </c>
    </row>
    <row r="33" spans="1:76" ht="15" hidden="1">
      <c r="A33" s="591">
        <v>231</v>
      </c>
      <c r="B33" s="585" t="s">
        <v>790</v>
      </c>
      <c r="C33" s="586" t="s">
        <v>791</v>
      </c>
      <c r="D33" s="566" t="s">
        <v>761</v>
      </c>
      <c r="E33" s="567">
        <v>44935</v>
      </c>
      <c r="F33" s="568">
        <v>3.47</v>
      </c>
      <c r="G33" s="568">
        <v>3.47</v>
      </c>
      <c r="H33" s="568">
        <v>26</v>
      </c>
      <c r="I33" s="569">
        <f t="shared" si="16"/>
        <v>1769.56</v>
      </c>
      <c r="J33" s="570">
        <f t="shared" si="17"/>
        <v>180.44</v>
      </c>
      <c r="K33" s="571">
        <f t="shared" si="10"/>
        <v>135.32999999999998</v>
      </c>
      <c r="L33" s="571">
        <f t="shared" si="11"/>
        <v>45.11</v>
      </c>
      <c r="M33" s="566">
        <v>8810</v>
      </c>
      <c r="N33" s="568">
        <v>0.1716</v>
      </c>
      <c r="O33" s="602"/>
      <c r="P33" s="568"/>
      <c r="Q33" s="572">
        <f>W33*1.03</f>
        <v>46.185200000000002</v>
      </c>
      <c r="R33" s="572">
        <f>Q33*1.03</f>
        <v>47.570756000000003</v>
      </c>
      <c r="S33" s="573">
        <f t="shared" si="18"/>
        <v>61295.611884000005</v>
      </c>
      <c r="T33" s="573">
        <f t="shared" si="19"/>
        <v>21044.826746840001</v>
      </c>
      <c r="U33" s="574">
        <f>S33+T33</f>
        <v>82340.438630840014</v>
      </c>
      <c r="V33" s="575">
        <f t="shared" si="20"/>
        <v>90736.598549999995</v>
      </c>
      <c r="W33" s="744">
        <v>44.84</v>
      </c>
      <c r="X33" s="576">
        <v>1</v>
      </c>
      <c r="Y33" s="566">
        <v>1005</v>
      </c>
      <c r="Z33" s="570">
        <f t="shared" si="22"/>
        <v>231</v>
      </c>
      <c r="AA33" s="534" t="str">
        <f t="shared" si="5"/>
        <v>Brown</v>
      </c>
      <c r="AB33" s="534" t="str">
        <f t="shared" si="5"/>
        <v>Sandra</v>
      </c>
      <c r="AD33" s="577" t="str">
        <f>AA33</f>
        <v>Brown</v>
      </c>
      <c r="AE33" s="578" t="str">
        <f>AB33</f>
        <v>Sandra</v>
      </c>
      <c r="AF33" s="578" t="s">
        <v>792</v>
      </c>
      <c r="AG33" s="579">
        <f t="shared" si="2"/>
        <v>1950</v>
      </c>
      <c r="AH33" s="580">
        <v>79935</v>
      </c>
      <c r="AI33" s="580">
        <f t="shared" si="14"/>
        <v>82340.44008084001</v>
      </c>
      <c r="AJ33" s="580">
        <f t="shared" si="8"/>
        <v>8396.1599191599998</v>
      </c>
      <c r="AK33" s="855">
        <v>0</v>
      </c>
      <c r="AL33" s="855">
        <v>90736.6</v>
      </c>
      <c r="AM33" s="855">
        <v>0</v>
      </c>
      <c r="AN33" s="855">
        <v>0</v>
      </c>
      <c r="AO33" s="855">
        <v>0</v>
      </c>
      <c r="AP33" s="855">
        <v>0</v>
      </c>
      <c r="AQ33" s="855">
        <v>0</v>
      </c>
      <c r="AR33" s="855">
        <v>0</v>
      </c>
      <c r="AS33" s="855">
        <v>0</v>
      </c>
      <c r="AT33" s="855">
        <v>0</v>
      </c>
      <c r="AU33" s="855">
        <v>0</v>
      </c>
      <c r="AV33" s="855">
        <v>0</v>
      </c>
      <c r="AW33" s="855">
        <v>0</v>
      </c>
      <c r="AX33" s="855">
        <v>0</v>
      </c>
      <c r="AY33" s="855">
        <v>0</v>
      </c>
      <c r="AZ33" s="855">
        <v>0</v>
      </c>
      <c r="BA33" s="855">
        <v>0</v>
      </c>
      <c r="BB33" s="855">
        <v>0</v>
      </c>
      <c r="BC33" s="855">
        <v>0</v>
      </c>
      <c r="BD33" s="855">
        <v>0</v>
      </c>
      <c r="BE33" s="855">
        <v>0</v>
      </c>
      <c r="BF33" s="855">
        <v>0</v>
      </c>
      <c r="BG33" s="855">
        <v>0</v>
      </c>
      <c r="BH33" s="855">
        <v>0</v>
      </c>
      <c r="BI33" s="855">
        <v>0</v>
      </c>
      <c r="BJ33" s="855">
        <v>0</v>
      </c>
      <c r="BK33" s="855">
        <v>0</v>
      </c>
      <c r="BL33" s="855">
        <v>0</v>
      </c>
      <c r="BM33" s="855">
        <v>0</v>
      </c>
      <c r="BN33" s="855">
        <v>0</v>
      </c>
      <c r="BO33" s="855">
        <v>0</v>
      </c>
      <c r="BP33" s="855"/>
      <c r="BQ33" s="855">
        <v>0</v>
      </c>
      <c r="BR33" s="855"/>
      <c r="BS33" s="855">
        <v>0</v>
      </c>
      <c r="BT33" s="855">
        <v>0</v>
      </c>
      <c r="BU33" s="855">
        <v>0</v>
      </c>
      <c r="BV33" s="581">
        <f t="shared" si="26"/>
        <v>90736.6</v>
      </c>
      <c r="BW33" s="582">
        <f t="shared" si="27"/>
        <v>2405.4400808400096</v>
      </c>
      <c r="BX33" s="583">
        <f t="shared" si="28"/>
        <v>2.9213349825169765E-2</v>
      </c>
    </row>
    <row r="34" spans="1:76" ht="15" hidden="1">
      <c r="A34" s="591"/>
      <c r="B34" s="585" t="s">
        <v>793</v>
      </c>
      <c r="C34" s="586" t="s">
        <v>794</v>
      </c>
      <c r="D34" s="566" t="s">
        <v>761</v>
      </c>
      <c r="E34" s="567">
        <v>46042</v>
      </c>
      <c r="F34" s="568">
        <v>3.47</v>
      </c>
      <c r="G34" s="568">
        <v>3.47</v>
      </c>
      <c r="H34" s="568">
        <v>26</v>
      </c>
      <c r="I34" s="569">
        <f t="shared" si="16"/>
        <v>1769.56</v>
      </c>
      <c r="J34" s="570">
        <f t="shared" si="17"/>
        <v>180.44</v>
      </c>
      <c r="K34" s="571">
        <f t="shared" ref="K34" si="29">J34*$K$22</f>
        <v>135.32999999999998</v>
      </c>
      <c r="L34" s="571">
        <f t="shared" ref="L34" si="30">J34*$L$22</f>
        <v>45.11</v>
      </c>
      <c r="M34" s="566">
        <v>8810</v>
      </c>
      <c r="N34" s="568">
        <v>0.1716</v>
      </c>
      <c r="O34" s="602">
        <v>1</v>
      </c>
      <c r="P34" s="568"/>
      <c r="Q34" s="572">
        <f>(W34+O34)*1.03</f>
        <v>23.175000000000001</v>
      </c>
      <c r="R34" s="572">
        <f>Q34*1.03</f>
        <v>23.870250000000002</v>
      </c>
      <c r="S34" s="573">
        <f t="shared" si="18"/>
        <v>30757.164750000004</v>
      </c>
      <c r="T34" s="573">
        <f t="shared" si="19"/>
        <v>10559.959897500001</v>
      </c>
      <c r="U34" s="574">
        <f>S34+T34</f>
        <v>41317.124647500008</v>
      </c>
      <c r="V34" s="575">
        <f t="shared" si="20"/>
        <v>45530.184374999997</v>
      </c>
      <c r="W34" s="744">
        <v>21.5</v>
      </c>
      <c r="X34" s="576">
        <v>1</v>
      </c>
      <c r="Y34" s="566"/>
      <c r="Z34" s="570"/>
      <c r="AA34" s="534"/>
      <c r="AB34" s="534"/>
      <c r="AD34" s="577" t="str">
        <f>B34</f>
        <v xml:space="preserve">Brown </v>
      </c>
      <c r="AE34" s="578" t="str">
        <f>C34</f>
        <v>Jackie</v>
      </c>
      <c r="AF34" s="578" t="s">
        <v>795</v>
      </c>
      <c r="AG34" s="579">
        <f t="shared" ref="AG34:AG35" si="31">1950*X34</f>
        <v>1950</v>
      </c>
      <c r="AH34" s="580">
        <v>0</v>
      </c>
      <c r="AI34" s="580">
        <f t="shared" si="14"/>
        <v>41317.120272500004</v>
      </c>
      <c r="AJ34" s="580">
        <f t="shared" ref="AJ34" si="32">(Q34*K34)+(R34*L34)</f>
        <v>4213.0597275</v>
      </c>
      <c r="AK34" s="855">
        <v>0</v>
      </c>
      <c r="AL34" s="855">
        <v>0</v>
      </c>
      <c r="AM34" s="855">
        <v>0</v>
      </c>
      <c r="AN34" s="855">
        <v>0</v>
      </c>
      <c r="AO34" s="855">
        <v>0</v>
      </c>
      <c r="AP34" s="855">
        <v>0</v>
      </c>
      <c r="AQ34" s="855">
        <v>0</v>
      </c>
      <c r="AR34" s="855">
        <v>0</v>
      </c>
      <c r="AS34" s="855">
        <v>0</v>
      </c>
      <c r="AT34" s="855">
        <v>0</v>
      </c>
      <c r="AU34" s="855">
        <v>0</v>
      </c>
      <c r="AV34" s="855">
        <v>0</v>
      </c>
      <c r="AW34" s="855">
        <v>0</v>
      </c>
      <c r="AX34" s="855">
        <v>0</v>
      </c>
      <c r="AY34" s="855">
        <v>0</v>
      </c>
      <c r="AZ34" s="855">
        <v>0</v>
      </c>
      <c r="BA34" s="855">
        <v>0</v>
      </c>
      <c r="BB34" s="855">
        <v>0</v>
      </c>
      <c r="BC34" s="855">
        <v>0</v>
      </c>
      <c r="BD34" s="855">
        <v>0</v>
      </c>
      <c r="BE34" s="855">
        <v>0</v>
      </c>
      <c r="BF34" s="855">
        <v>0</v>
      </c>
      <c r="BG34" s="855">
        <v>0</v>
      </c>
      <c r="BH34" s="855">
        <v>0</v>
      </c>
      <c r="BI34" s="855">
        <v>0</v>
      </c>
      <c r="BJ34" s="855">
        <v>0</v>
      </c>
      <c r="BK34" s="855">
        <v>0</v>
      </c>
      <c r="BL34" s="855">
        <v>0</v>
      </c>
      <c r="BM34" s="855">
        <v>0</v>
      </c>
      <c r="BN34" s="855">
        <v>0</v>
      </c>
      <c r="BO34" s="855">
        <v>0</v>
      </c>
      <c r="BP34" s="855"/>
      <c r="BQ34" s="855">
        <v>0</v>
      </c>
      <c r="BR34" s="855">
        <v>45530.18</v>
      </c>
      <c r="BS34" s="855">
        <v>0</v>
      </c>
      <c r="BT34" s="855">
        <v>0</v>
      </c>
      <c r="BU34" s="855">
        <v>0</v>
      </c>
      <c r="BV34" s="581">
        <f t="shared" si="26"/>
        <v>45530.18</v>
      </c>
      <c r="BW34" s="582">
        <f t="shared" si="27"/>
        <v>41317.120272500004</v>
      </c>
      <c r="BX34" s="583">
        <f t="shared" si="28"/>
        <v>1</v>
      </c>
    </row>
    <row r="35" spans="1:76" ht="15" hidden="1">
      <c r="A35" s="591"/>
      <c r="B35" s="585" t="s">
        <v>796</v>
      </c>
      <c r="C35" s="586" t="s">
        <v>797</v>
      </c>
      <c r="D35" s="566" t="s">
        <v>761</v>
      </c>
      <c r="E35" s="567">
        <v>45678</v>
      </c>
      <c r="F35" s="568">
        <v>3.47</v>
      </c>
      <c r="G35" s="568">
        <v>3.47</v>
      </c>
      <c r="H35" s="568">
        <v>26</v>
      </c>
      <c r="I35" s="569">
        <f t="shared" si="16"/>
        <v>1769.56</v>
      </c>
      <c r="J35" s="570">
        <f t="shared" si="17"/>
        <v>180.44</v>
      </c>
      <c r="K35" s="571">
        <f t="shared" ref="K35" si="33">J35*$K$22</f>
        <v>135.32999999999998</v>
      </c>
      <c r="L35" s="571">
        <f t="shared" ref="L35" si="34">J35*$L$22</f>
        <v>45.11</v>
      </c>
      <c r="M35" s="566">
        <v>8810</v>
      </c>
      <c r="N35" s="568">
        <v>0.1716</v>
      </c>
      <c r="O35" s="602"/>
      <c r="P35" s="568"/>
      <c r="Q35" s="572">
        <f t="shared" ref="Q35" si="35">W35*1.03</f>
        <v>30.467399999999998</v>
      </c>
      <c r="R35" s="572">
        <f t="shared" ref="R35:R42" si="36">Q35*1.03</f>
        <v>31.381421999999997</v>
      </c>
      <c r="S35" s="573">
        <f t="shared" si="18"/>
        <v>40435.419258000002</v>
      </c>
      <c r="T35" s="573">
        <f t="shared" si="19"/>
        <v>13882.827278579998</v>
      </c>
      <c r="U35" s="574">
        <f t="shared" ref="U35" si="37">S35+T35</f>
        <v>54318.246536580002</v>
      </c>
      <c r="V35" s="575">
        <f t="shared" si="20"/>
        <v>59857.01572499999</v>
      </c>
      <c r="W35" s="745">
        <v>29.58</v>
      </c>
      <c r="X35" s="576">
        <v>1</v>
      </c>
      <c r="Y35" s="566">
        <v>1014</v>
      </c>
      <c r="Z35" s="570">
        <f t="shared" si="22"/>
        <v>0</v>
      </c>
      <c r="AA35" s="534" t="s">
        <v>796</v>
      </c>
      <c r="AB35" s="534" t="s">
        <v>797</v>
      </c>
      <c r="AD35" s="577" t="str">
        <f t="shared" ref="AD35" si="38">AA35</f>
        <v>Bursch</v>
      </c>
      <c r="AE35" s="578" t="str">
        <f t="shared" ref="AE35" si="39">AB35</f>
        <v>Mary Kathryn</v>
      </c>
      <c r="AF35" s="578" t="s">
        <v>798</v>
      </c>
      <c r="AG35" s="579">
        <f t="shared" si="31"/>
        <v>1950</v>
      </c>
      <c r="AH35" s="580">
        <v>51047</v>
      </c>
      <c r="AI35" s="580">
        <f t="shared" ref="AI35:AI100" si="40">SUM(AK35:BU35)-AJ35</f>
        <v>54318.240811579992</v>
      </c>
      <c r="AJ35" s="580">
        <f t="shared" si="8"/>
        <v>5538.7691884199994</v>
      </c>
      <c r="AK35" s="855">
        <v>0</v>
      </c>
      <c r="AL35" s="855">
        <v>0</v>
      </c>
      <c r="AM35" s="855">
        <v>0</v>
      </c>
      <c r="AN35" s="855">
        <v>0</v>
      </c>
      <c r="AO35" s="855">
        <v>0</v>
      </c>
      <c r="AP35" s="855">
        <v>29329.94</v>
      </c>
      <c r="AQ35" s="855">
        <v>1197.1400000000001</v>
      </c>
      <c r="AR35" s="855">
        <v>8978.5499999999993</v>
      </c>
      <c r="AS35" s="855">
        <v>0</v>
      </c>
      <c r="AT35" s="855">
        <v>0</v>
      </c>
      <c r="AU35" s="855">
        <v>0</v>
      </c>
      <c r="AV35" s="855">
        <v>0</v>
      </c>
      <c r="AW35" s="855">
        <v>0</v>
      </c>
      <c r="AX35" s="855">
        <v>0</v>
      </c>
      <c r="AY35" s="855">
        <v>0</v>
      </c>
      <c r="AZ35" s="855">
        <v>0</v>
      </c>
      <c r="BA35" s="855">
        <v>0</v>
      </c>
      <c r="BB35" s="855">
        <v>0</v>
      </c>
      <c r="BC35" s="855">
        <v>13767.11</v>
      </c>
      <c r="BD35" s="855">
        <v>0</v>
      </c>
      <c r="BE35" s="855">
        <v>0</v>
      </c>
      <c r="BF35" s="855">
        <v>0</v>
      </c>
      <c r="BG35" s="855">
        <v>0</v>
      </c>
      <c r="BH35" s="855">
        <v>0</v>
      </c>
      <c r="BI35" s="855">
        <v>0</v>
      </c>
      <c r="BJ35" s="855">
        <v>0</v>
      </c>
      <c r="BK35" s="855">
        <v>0</v>
      </c>
      <c r="BL35" s="855">
        <v>0</v>
      </c>
      <c r="BM35" s="855">
        <v>0</v>
      </c>
      <c r="BN35" s="855">
        <v>0</v>
      </c>
      <c r="BO35" s="855">
        <v>0</v>
      </c>
      <c r="BP35" s="855"/>
      <c r="BQ35" s="855">
        <v>0</v>
      </c>
      <c r="BR35" s="855"/>
      <c r="BS35" s="855">
        <v>4189.99</v>
      </c>
      <c r="BT35" s="855">
        <v>2394.2800000000002</v>
      </c>
      <c r="BU35" s="855">
        <v>0</v>
      </c>
      <c r="BV35" s="581">
        <f t="shared" si="26"/>
        <v>59857.009999999995</v>
      </c>
      <c r="BW35" s="582">
        <f t="shared" si="27"/>
        <v>3271.2408115799917</v>
      </c>
      <c r="BX35" s="583">
        <f t="shared" si="28"/>
        <v>6.0223614806070858E-2</v>
      </c>
    </row>
    <row r="36" spans="1:76" ht="15" hidden="1">
      <c r="A36" s="177"/>
      <c r="B36" s="564" t="s">
        <v>799</v>
      </c>
      <c r="C36" s="565" t="s">
        <v>800</v>
      </c>
      <c r="D36" s="566" t="s">
        <v>761</v>
      </c>
      <c r="E36" s="567">
        <v>45320</v>
      </c>
      <c r="F36" s="568">
        <v>3.47</v>
      </c>
      <c r="G36" s="568">
        <v>3.47</v>
      </c>
      <c r="H36" s="568">
        <v>26</v>
      </c>
      <c r="I36" s="569">
        <f t="shared" si="16"/>
        <v>1769.56</v>
      </c>
      <c r="J36" s="570">
        <f t="shared" si="17"/>
        <v>180.44</v>
      </c>
      <c r="K36" s="571">
        <f t="shared" si="10"/>
        <v>135.32999999999998</v>
      </c>
      <c r="L36" s="571">
        <f t="shared" si="11"/>
        <v>45.11</v>
      </c>
      <c r="M36" s="568">
        <v>8810</v>
      </c>
      <c r="N36" s="568">
        <v>0.1716</v>
      </c>
      <c r="O36" s="602">
        <v>1</v>
      </c>
      <c r="P36" s="568"/>
      <c r="Q36" s="572">
        <f>(W36+O36)*1.03</f>
        <v>24.153500000000001</v>
      </c>
      <c r="R36" s="572">
        <f>Q36*1.03</f>
        <v>24.878105000000001</v>
      </c>
      <c r="S36" s="573">
        <f t="shared" si="18"/>
        <v>32055.800595000004</v>
      </c>
      <c r="T36" s="573">
        <f t="shared" si="19"/>
        <v>11005.82487095</v>
      </c>
      <c r="U36" s="574">
        <f>S36+T36</f>
        <v>43061.625465950005</v>
      </c>
      <c r="V36" s="575">
        <f t="shared" si="20"/>
        <v>47452.569937500004</v>
      </c>
      <c r="W36" s="744">
        <v>22.45</v>
      </c>
      <c r="X36" s="576">
        <v>1</v>
      </c>
      <c r="Y36" s="566">
        <v>1017</v>
      </c>
      <c r="Z36" s="570">
        <f t="shared" si="22"/>
        <v>0</v>
      </c>
      <c r="AA36" s="534" t="str">
        <f>B36</f>
        <v>Callahan-Ross</v>
      </c>
      <c r="AB36" s="534" t="str">
        <f>C36</f>
        <v>Lisa</v>
      </c>
      <c r="AD36" s="577" t="str">
        <f t="shared" ref="AD36:AE38" si="41">AA36</f>
        <v>Callahan-Ross</v>
      </c>
      <c r="AE36" s="578" t="str">
        <f t="shared" si="41"/>
        <v>Lisa</v>
      </c>
      <c r="AF36" s="578" t="s">
        <v>801</v>
      </c>
      <c r="AG36" s="579">
        <f>1950*X36</f>
        <v>1950</v>
      </c>
      <c r="AH36" s="580">
        <v>40037</v>
      </c>
      <c r="AI36" s="580">
        <f t="shared" si="40"/>
        <v>43061.62552845</v>
      </c>
      <c r="AJ36" s="580">
        <f t="shared" si="8"/>
        <v>4390.9444715499994</v>
      </c>
      <c r="AK36" s="855">
        <v>0</v>
      </c>
      <c r="AL36" s="855">
        <v>0</v>
      </c>
      <c r="AM36" s="855">
        <v>0</v>
      </c>
      <c r="AN36" s="855">
        <v>0</v>
      </c>
      <c r="AO36" s="855">
        <v>0</v>
      </c>
      <c r="AP36" s="855">
        <v>0</v>
      </c>
      <c r="AQ36" s="855">
        <v>0</v>
      </c>
      <c r="AR36" s="855">
        <v>0</v>
      </c>
      <c r="AS36" s="855">
        <v>0</v>
      </c>
      <c r="AT36" s="855">
        <v>0</v>
      </c>
      <c r="AU36" s="855">
        <v>0</v>
      </c>
      <c r="AV36" s="855">
        <v>0</v>
      </c>
      <c r="AW36" s="855">
        <v>0</v>
      </c>
      <c r="AX36" s="855">
        <v>0</v>
      </c>
      <c r="AY36" s="855">
        <v>0</v>
      </c>
      <c r="AZ36" s="855">
        <v>0</v>
      </c>
      <c r="BA36" s="855">
        <v>0</v>
      </c>
      <c r="BB36" s="855">
        <v>0</v>
      </c>
      <c r="BC36" s="855">
        <v>0</v>
      </c>
      <c r="BD36" s="855">
        <v>0</v>
      </c>
      <c r="BE36" s="855">
        <v>0</v>
      </c>
      <c r="BF36" s="855">
        <v>0</v>
      </c>
      <c r="BG36" s="855">
        <v>0</v>
      </c>
      <c r="BH36" s="855">
        <v>0</v>
      </c>
      <c r="BI36" s="855">
        <v>0</v>
      </c>
      <c r="BJ36" s="855">
        <v>0</v>
      </c>
      <c r="BK36" s="855">
        <v>36063.949999999997</v>
      </c>
      <c r="BL36" s="855">
        <v>0</v>
      </c>
      <c r="BM36" s="855">
        <v>11388.62</v>
      </c>
      <c r="BN36" s="855">
        <v>0</v>
      </c>
      <c r="BO36" s="855">
        <v>0</v>
      </c>
      <c r="BP36" s="855"/>
      <c r="BQ36" s="855">
        <v>0</v>
      </c>
      <c r="BR36" s="855"/>
      <c r="BS36" s="855">
        <v>0</v>
      </c>
      <c r="BT36" s="855">
        <v>0</v>
      </c>
      <c r="BU36" s="855">
        <v>0</v>
      </c>
      <c r="BV36" s="581">
        <f t="shared" si="26"/>
        <v>47452.57</v>
      </c>
      <c r="BW36" s="582">
        <f t="shared" si="27"/>
        <v>3024.6255284500003</v>
      </c>
      <c r="BX36" s="583">
        <f t="shared" si="28"/>
        <v>7.0239464751549741E-2</v>
      </c>
    </row>
    <row r="37" spans="1:76" ht="15" hidden="1">
      <c r="A37" s="177">
        <v>386</v>
      </c>
      <c r="B37" s="564" t="s">
        <v>802</v>
      </c>
      <c r="C37" s="565" t="s">
        <v>803</v>
      </c>
      <c r="D37" s="566" t="s">
        <v>761</v>
      </c>
      <c r="E37" s="567">
        <v>45733</v>
      </c>
      <c r="F37" s="568">
        <v>3.47</v>
      </c>
      <c r="G37" s="568">
        <v>3.47</v>
      </c>
      <c r="H37" s="568">
        <v>26</v>
      </c>
      <c r="I37" s="569">
        <f t="shared" si="16"/>
        <v>1769.56</v>
      </c>
      <c r="J37" s="570">
        <f t="shared" si="17"/>
        <v>180.44</v>
      </c>
      <c r="K37" s="571">
        <f t="shared" si="10"/>
        <v>135.32999999999998</v>
      </c>
      <c r="L37" s="571">
        <f t="shared" si="11"/>
        <v>45.11</v>
      </c>
      <c r="M37" s="568">
        <v>8810</v>
      </c>
      <c r="N37" s="568">
        <v>0.1716</v>
      </c>
      <c r="O37" s="602"/>
      <c r="P37" s="568"/>
      <c r="Q37" s="572">
        <f>W37*1.03+O37</f>
        <v>22.2789</v>
      </c>
      <c r="R37" s="572">
        <f t="shared" si="36"/>
        <v>22.947267</v>
      </c>
      <c r="S37" s="573">
        <f t="shared" si="18"/>
        <v>29567.887713</v>
      </c>
      <c r="T37" s="573">
        <f t="shared" si="19"/>
        <v>10151.64144813</v>
      </c>
      <c r="U37" s="574">
        <f>S37+T37</f>
        <v>39719.529161129998</v>
      </c>
      <c r="V37" s="575">
        <f t="shared" si="20"/>
        <v>43769.683912499997</v>
      </c>
      <c r="W37" s="744">
        <v>21.63</v>
      </c>
      <c r="X37" s="576">
        <v>1</v>
      </c>
      <c r="Y37" s="566">
        <v>1005</v>
      </c>
      <c r="Z37" s="570">
        <f t="shared" si="22"/>
        <v>386</v>
      </c>
      <c r="AA37" s="534" t="s">
        <v>802</v>
      </c>
      <c r="AB37" s="534" t="s">
        <v>803</v>
      </c>
      <c r="AD37" s="577" t="s">
        <v>804</v>
      </c>
      <c r="AE37" s="578" t="s">
        <v>803</v>
      </c>
      <c r="AF37" s="578" t="s">
        <v>805</v>
      </c>
      <c r="AG37" s="579">
        <v>1950</v>
      </c>
      <c r="AH37" s="580">
        <v>24398</v>
      </c>
      <c r="AI37" s="580">
        <f t="shared" si="40"/>
        <v>25129.635248630002</v>
      </c>
      <c r="AJ37" s="580">
        <f t="shared" si="8"/>
        <v>4050.1547513699998</v>
      </c>
      <c r="AK37" s="855">
        <v>0</v>
      </c>
      <c r="AL37" s="855">
        <v>29179.79</v>
      </c>
      <c r="AM37" s="855">
        <v>0</v>
      </c>
      <c r="AN37" s="855">
        <v>0</v>
      </c>
      <c r="AO37" s="855">
        <v>0</v>
      </c>
      <c r="AP37" s="855">
        <v>0</v>
      </c>
      <c r="AQ37" s="855">
        <v>0</v>
      </c>
      <c r="AR37" s="855">
        <v>0</v>
      </c>
      <c r="AS37" s="855">
        <v>0</v>
      </c>
      <c r="AT37" s="855">
        <v>0</v>
      </c>
      <c r="AU37" s="855">
        <v>0</v>
      </c>
      <c r="AV37" s="855">
        <v>0</v>
      </c>
      <c r="AW37" s="855">
        <v>0</v>
      </c>
      <c r="AX37" s="855">
        <v>0</v>
      </c>
      <c r="AY37" s="855">
        <v>0</v>
      </c>
      <c r="AZ37" s="855">
        <v>0</v>
      </c>
      <c r="BA37" s="855">
        <v>0</v>
      </c>
      <c r="BB37" s="855">
        <v>0</v>
      </c>
      <c r="BC37" s="855">
        <v>0</v>
      </c>
      <c r="BD37" s="855">
        <v>0</v>
      </c>
      <c r="BE37" s="855">
        <v>0</v>
      </c>
      <c r="BF37" s="855">
        <v>0</v>
      </c>
      <c r="BG37" s="855">
        <v>0</v>
      </c>
      <c r="BH37" s="855">
        <v>0</v>
      </c>
      <c r="BI37" s="855">
        <v>0</v>
      </c>
      <c r="BJ37" s="855">
        <v>0</v>
      </c>
      <c r="BK37" s="855">
        <v>0</v>
      </c>
      <c r="BL37" s="855">
        <v>0</v>
      </c>
      <c r="BM37" s="855">
        <v>0</v>
      </c>
      <c r="BN37" s="855">
        <v>0</v>
      </c>
      <c r="BO37" s="855">
        <v>0</v>
      </c>
      <c r="BP37" s="855"/>
      <c r="BQ37" s="855">
        <v>0</v>
      </c>
      <c r="BR37" s="855"/>
      <c r="BS37" s="855">
        <v>0</v>
      </c>
      <c r="BT37" s="855">
        <v>0</v>
      </c>
      <c r="BU37" s="855">
        <v>0</v>
      </c>
      <c r="BV37" s="581">
        <f t="shared" si="26"/>
        <v>29179.79</v>
      </c>
      <c r="BW37" s="582">
        <f t="shared" si="27"/>
        <v>731.63524863000202</v>
      </c>
      <c r="BX37" s="583">
        <f t="shared" si="28"/>
        <v>2.9114439640340106E-2</v>
      </c>
    </row>
    <row r="38" spans="1:76" ht="15" hidden="1">
      <c r="A38" s="177">
        <v>108</v>
      </c>
      <c r="B38" s="564" t="s">
        <v>806</v>
      </c>
      <c r="C38" s="565" t="s">
        <v>807</v>
      </c>
      <c r="D38" s="566" t="s">
        <v>761</v>
      </c>
      <c r="E38" s="567">
        <v>40637</v>
      </c>
      <c r="F38" s="592">
        <v>6.92</v>
      </c>
      <c r="G38" s="592">
        <v>3.47</v>
      </c>
      <c r="H38" s="592">
        <v>26</v>
      </c>
      <c r="I38" s="569">
        <f t="shared" si="16"/>
        <v>1679.8600000000001</v>
      </c>
      <c r="J38" s="570">
        <f t="shared" si="17"/>
        <v>270.14</v>
      </c>
      <c r="K38" s="571">
        <f t="shared" si="10"/>
        <v>202.60499999999999</v>
      </c>
      <c r="L38" s="571">
        <f t="shared" si="11"/>
        <v>67.534999999999997</v>
      </c>
      <c r="M38" s="592">
        <v>8810</v>
      </c>
      <c r="N38" s="568">
        <v>0.1716</v>
      </c>
      <c r="O38" s="602"/>
      <c r="P38" s="568"/>
      <c r="Q38" s="572">
        <f>W38*1.03</f>
        <v>34.062100000000001</v>
      </c>
      <c r="R38" s="572">
        <f t="shared" si="36"/>
        <v>35.083963000000004</v>
      </c>
      <c r="S38" s="573">
        <f t="shared" si="18"/>
        <v>42914.6694795</v>
      </c>
      <c r="T38" s="573">
        <f t="shared" si="19"/>
        <v>14734.036521295004</v>
      </c>
      <c r="U38" s="574">
        <f>S38+T38</f>
        <v>57648.706000795006</v>
      </c>
      <c r="V38" s="575">
        <f t="shared" si="20"/>
        <v>66919.2532125</v>
      </c>
      <c r="W38" s="744">
        <v>33.07</v>
      </c>
      <c r="X38" s="593">
        <v>1</v>
      </c>
      <c r="Y38" s="566">
        <v>1039</v>
      </c>
      <c r="Z38" s="570">
        <f t="shared" si="22"/>
        <v>108</v>
      </c>
      <c r="AA38" s="534" t="str">
        <f t="shared" si="22"/>
        <v>Carr</v>
      </c>
      <c r="AB38" s="534" t="str">
        <f t="shared" si="22"/>
        <v>Leah</v>
      </c>
      <c r="AD38" s="577" t="str">
        <f t="shared" si="41"/>
        <v>Carr</v>
      </c>
      <c r="AE38" s="578" t="str">
        <f t="shared" si="41"/>
        <v>Leah</v>
      </c>
      <c r="AF38" s="578" t="s">
        <v>808</v>
      </c>
      <c r="AG38" s="579">
        <f>1950*X38</f>
        <v>1950</v>
      </c>
      <c r="AH38" s="580">
        <v>55977</v>
      </c>
      <c r="AI38" s="580">
        <f t="shared" si="40"/>
        <v>57648.712788294994</v>
      </c>
      <c r="AJ38" s="580">
        <f t="shared" si="8"/>
        <v>9270.5472117049994</v>
      </c>
      <c r="AK38" s="855">
        <v>0</v>
      </c>
      <c r="AL38" s="855">
        <v>0</v>
      </c>
      <c r="AM38" s="855">
        <v>0</v>
      </c>
      <c r="AN38" s="855">
        <v>0</v>
      </c>
      <c r="AO38" s="855">
        <v>0</v>
      </c>
      <c r="AP38" s="855">
        <v>0</v>
      </c>
      <c r="AQ38" s="855">
        <v>0</v>
      </c>
      <c r="AR38" s="855">
        <v>0</v>
      </c>
      <c r="AS38" s="855">
        <v>0</v>
      </c>
      <c r="AT38" s="855">
        <v>0</v>
      </c>
      <c r="AU38" s="855">
        <v>0</v>
      </c>
      <c r="AV38" s="855">
        <v>0</v>
      </c>
      <c r="AW38" s="855">
        <v>0</v>
      </c>
      <c r="AX38" s="855">
        <v>0</v>
      </c>
      <c r="AY38" s="855">
        <v>0</v>
      </c>
      <c r="AZ38" s="855">
        <v>0</v>
      </c>
      <c r="BA38" s="855">
        <v>0</v>
      </c>
      <c r="BB38" s="855">
        <v>0</v>
      </c>
      <c r="BC38" s="855">
        <v>0</v>
      </c>
      <c r="BD38" s="855">
        <v>0</v>
      </c>
      <c r="BE38" s="855">
        <v>0</v>
      </c>
      <c r="BF38" s="855">
        <v>0</v>
      </c>
      <c r="BG38" s="855">
        <v>0</v>
      </c>
      <c r="BH38" s="855">
        <v>0</v>
      </c>
      <c r="BI38" s="855">
        <v>0</v>
      </c>
      <c r="BJ38" s="855">
        <v>0</v>
      </c>
      <c r="BK38" s="855">
        <v>0</v>
      </c>
      <c r="BL38" s="855">
        <v>0</v>
      </c>
      <c r="BM38" s="855">
        <v>0</v>
      </c>
      <c r="BN38" s="855">
        <v>0</v>
      </c>
      <c r="BO38" s="855">
        <v>0</v>
      </c>
      <c r="BP38" s="855"/>
      <c r="BQ38" s="855">
        <v>22752.55</v>
      </c>
      <c r="BR38" s="855">
        <v>44166.71</v>
      </c>
      <c r="BS38" s="855">
        <v>0</v>
      </c>
      <c r="BT38" s="855">
        <v>0</v>
      </c>
      <c r="BU38" s="855">
        <v>0</v>
      </c>
      <c r="BV38" s="581">
        <f t="shared" si="26"/>
        <v>66919.259999999995</v>
      </c>
      <c r="BW38" s="582">
        <f t="shared" si="27"/>
        <v>1671.7127882949935</v>
      </c>
      <c r="BX38" s="583">
        <f t="shared" si="28"/>
        <v>2.8998267392961075E-2</v>
      </c>
    </row>
    <row r="39" spans="1:76" ht="15" hidden="1">
      <c r="A39" s="177"/>
      <c r="B39" s="564" t="s">
        <v>809</v>
      </c>
      <c r="C39" s="565" t="s">
        <v>810</v>
      </c>
      <c r="D39" s="566" t="s">
        <v>761</v>
      </c>
      <c r="E39" s="567">
        <v>45887</v>
      </c>
      <c r="F39" s="568">
        <v>3.47</v>
      </c>
      <c r="G39" s="568">
        <v>3.47</v>
      </c>
      <c r="H39" s="568">
        <v>26</v>
      </c>
      <c r="I39" s="569">
        <f t="shared" si="16"/>
        <v>1769.56</v>
      </c>
      <c r="J39" s="570">
        <f t="shared" si="17"/>
        <v>180.44</v>
      </c>
      <c r="K39" s="571">
        <f t="shared" ref="K39" si="42">J39*$K$22</f>
        <v>135.32999999999998</v>
      </c>
      <c r="L39" s="571">
        <f t="shared" ref="L39" si="43">J39*$L$22</f>
        <v>45.11</v>
      </c>
      <c r="M39" s="566">
        <v>8810</v>
      </c>
      <c r="N39" s="568">
        <v>0.1716</v>
      </c>
      <c r="O39" s="602">
        <v>1</v>
      </c>
      <c r="P39" s="568"/>
      <c r="Q39" s="572">
        <f>(W39+O39)*1.03</f>
        <v>23.175000000000001</v>
      </c>
      <c r="R39" s="572">
        <f>Q39*1.03</f>
        <v>23.870250000000002</v>
      </c>
      <c r="S39" s="573">
        <f t="shared" si="18"/>
        <v>30757.164750000004</v>
      </c>
      <c r="T39" s="573">
        <f t="shared" si="19"/>
        <v>10559.959897500001</v>
      </c>
      <c r="U39" s="574">
        <f>S39+T39</f>
        <v>41317.124647500008</v>
      </c>
      <c r="V39" s="575">
        <f t="shared" si="20"/>
        <v>45530.184374999997</v>
      </c>
      <c r="W39" s="745">
        <v>21.5</v>
      </c>
      <c r="X39" s="593">
        <v>1</v>
      </c>
      <c r="Y39" s="566"/>
      <c r="Z39" s="570"/>
      <c r="AA39" s="534"/>
      <c r="AB39" s="534"/>
      <c r="AD39" s="577" t="str">
        <f>B39</f>
        <v>Dangerfield</v>
      </c>
      <c r="AE39" s="577" t="str">
        <f>C39</f>
        <v>Shea</v>
      </c>
      <c r="AF39" s="578" t="s">
        <v>777</v>
      </c>
      <c r="AG39" s="579">
        <f>1950*X39</f>
        <v>1950</v>
      </c>
      <c r="AH39" s="580">
        <v>0</v>
      </c>
      <c r="AI39" s="580">
        <f t="shared" ref="AI39" si="44">SUM(AK39:BU39)-AJ39</f>
        <v>41317.120272500004</v>
      </c>
      <c r="AJ39" s="580">
        <f t="shared" ref="AJ39" si="45">(Q39*K39)+(R39*L39)</f>
        <v>4213.0597275</v>
      </c>
      <c r="AK39" s="855">
        <v>0</v>
      </c>
      <c r="AL39" s="855">
        <v>0</v>
      </c>
      <c r="AM39" s="855">
        <v>0</v>
      </c>
      <c r="AN39" s="855">
        <v>0</v>
      </c>
      <c r="AO39" s="855">
        <v>0</v>
      </c>
      <c r="AP39" s="855">
        <v>0</v>
      </c>
      <c r="AQ39" s="855">
        <v>0</v>
      </c>
      <c r="AR39" s="855">
        <v>0</v>
      </c>
      <c r="AS39" s="855">
        <v>0</v>
      </c>
      <c r="AT39" s="855">
        <v>0</v>
      </c>
      <c r="AU39" s="855">
        <v>0</v>
      </c>
      <c r="AV39" s="855">
        <v>0</v>
      </c>
      <c r="AW39" s="855">
        <v>0</v>
      </c>
      <c r="AX39" s="855">
        <v>0</v>
      </c>
      <c r="AY39" s="855">
        <v>0</v>
      </c>
      <c r="AZ39" s="855">
        <v>0</v>
      </c>
      <c r="BA39" s="855">
        <v>0</v>
      </c>
      <c r="BB39" s="855">
        <v>0</v>
      </c>
      <c r="BC39" s="855">
        <v>0</v>
      </c>
      <c r="BD39" s="855">
        <v>0</v>
      </c>
      <c r="BE39" s="855">
        <v>0</v>
      </c>
      <c r="BF39" s="855">
        <v>0</v>
      </c>
      <c r="BG39" s="855">
        <v>0</v>
      </c>
      <c r="BH39" s="855">
        <v>0</v>
      </c>
      <c r="BI39" s="855">
        <v>0</v>
      </c>
      <c r="BJ39" s="855">
        <v>0</v>
      </c>
      <c r="BK39" s="855">
        <v>0</v>
      </c>
      <c r="BL39" s="855">
        <v>0</v>
      </c>
      <c r="BM39" s="855">
        <v>0</v>
      </c>
      <c r="BN39" s="855">
        <v>0</v>
      </c>
      <c r="BO39" s="855">
        <v>0</v>
      </c>
      <c r="BP39" s="855"/>
      <c r="BQ39" s="855">
        <v>45530.18</v>
      </c>
      <c r="BR39" s="855"/>
      <c r="BS39" s="855">
        <v>0</v>
      </c>
      <c r="BT39" s="855">
        <v>0</v>
      </c>
      <c r="BU39" s="855">
        <v>0</v>
      </c>
      <c r="BV39" s="581">
        <f t="shared" si="26"/>
        <v>45530.18</v>
      </c>
      <c r="BW39" s="582">
        <f t="shared" si="27"/>
        <v>41317.120272500004</v>
      </c>
      <c r="BX39" s="583">
        <f t="shared" si="28"/>
        <v>1</v>
      </c>
    </row>
    <row r="40" spans="1:76" ht="15" hidden="1">
      <c r="A40" s="591"/>
      <c r="B40" s="585" t="s">
        <v>811</v>
      </c>
      <c r="C40" s="586" t="s">
        <v>812</v>
      </c>
      <c r="D40" s="566" t="s">
        <v>761</v>
      </c>
      <c r="E40" s="567">
        <v>45440</v>
      </c>
      <c r="F40" s="568">
        <v>3.47</v>
      </c>
      <c r="G40" s="568">
        <v>3.47</v>
      </c>
      <c r="H40" s="568">
        <v>26</v>
      </c>
      <c r="I40" s="569">
        <f t="shared" si="16"/>
        <v>1769.56</v>
      </c>
      <c r="J40" s="570">
        <f t="shared" si="17"/>
        <v>180.44</v>
      </c>
      <c r="K40" s="571">
        <f t="shared" si="10"/>
        <v>135.32999999999998</v>
      </c>
      <c r="L40" s="571">
        <f t="shared" si="11"/>
        <v>45.11</v>
      </c>
      <c r="M40" s="566">
        <v>8810</v>
      </c>
      <c r="N40" s="568">
        <v>0.1716</v>
      </c>
      <c r="O40" s="602"/>
      <c r="P40" s="568"/>
      <c r="Q40" s="572">
        <f>W40*1.03</f>
        <v>33.619199999999999</v>
      </c>
      <c r="R40" s="572">
        <f t="shared" si="36"/>
        <v>34.627775999999997</v>
      </c>
      <c r="S40" s="573">
        <f t="shared" si="18"/>
        <v>44618.393664000003</v>
      </c>
      <c r="T40" s="573">
        <f t="shared" si="19"/>
        <v>15318.981824639999</v>
      </c>
      <c r="U40" s="574">
        <f>S40+T40</f>
        <v>59937.375488639998</v>
      </c>
      <c r="V40" s="575">
        <f t="shared" si="20"/>
        <v>66049.120800000004</v>
      </c>
      <c r="W40" s="745">
        <v>32.64</v>
      </c>
      <c r="X40" s="576">
        <v>1</v>
      </c>
      <c r="Y40" s="566">
        <v>1005</v>
      </c>
      <c r="Z40" s="570">
        <f t="shared" si="22"/>
        <v>0</v>
      </c>
      <c r="AA40" s="534" t="str">
        <f t="shared" si="22"/>
        <v>Darrah</v>
      </c>
      <c r="AB40" s="534" t="str">
        <f t="shared" si="22"/>
        <v>Georgie</v>
      </c>
      <c r="AD40" s="577" t="str">
        <f>AA40</f>
        <v>Darrah</v>
      </c>
      <c r="AE40" s="578" t="str">
        <f>AB40</f>
        <v>Georgie</v>
      </c>
      <c r="AF40" s="578" t="s">
        <v>813</v>
      </c>
      <c r="AG40" s="579">
        <f>1950*X40</f>
        <v>1950</v>
      </c>
      <c r="AH40" s="580">
        <v>58192</v>
      </c>
      <c r="AI40" s="580">
        <f t="shared" si="40"/>
        <v>59937.364688640017</v>
      </c>
      <c r="AJ40" s="580">
        <f t="shared" si="8"/>
        <v>6111.7453113599995</v>
      </c>
      <c r="AK40" s="855">
        <v>0</v>
      </c>
      <c r="AL40" s="855">
        <v>0</v>
      </c>
      <c r="AM40" s="855">
        <v>0</v>
      </c>
      <c r="AN40" s="855">
        <v>0</v>
      </c>
      <c r="AO40" s="855">
        <v>13209.82</v>
      </c>
      <c r="AP40" s="855">
        <v>0</v>
      </c>
      <c r="AQ40" s="855">
        <v>0</v>
      </c>
      <c r="AR40" s="855">
        <v>0</v>
      </c>
      <c r="AS40" s="855">
        <v>0</v>
      </c>
      <c r="AT40" s="855">
        <v>0</v>
      </c>
      <c r="AU40" s="855">
        <v>0</v>
      </c>
      <c r="AV40" s="855">
        <v>0</v>
      </c>
      <c r="AW40" s="855">
        <v>1320.98</v>
      </c>
      <c r="AX40" s="855">
        <v>0</v>
      </c>
      <c r="AY40" s="855">
        <v>0</v>
      </c>
      <c r="AZ40" s="855">
        <v>0</v>
      </c>
      <c r="BA40" s="855">
        <v>2641.96</v>
      </c>
      <c r="BB40" s="855">
        <v>14530.81</v>
      </c>
      <c r="BC40" s="855">
        <v>0</v>
      </c>
      <c r="BD40" s="855">
        <v>9907.3700000000008</v>
      </c>
      <c r="BE40" s="855">
        <v>0</v>
      </c>
      <c r="BF40" s="855">
        <v>0</v>
      </c>
      <c r="BG40" s="855">
        <v>0</v>
      </c>
      <c r="BH40" s="855">
        <v>0</v>
      </c>
      <c r="BI40" s="855">
        <v>6604.91</v>
      </c>
      <c r="BJ40" s="855">
        <v>0</v>
      </c>
      <c r="BK40" s="855">
        <v>0</v>
      </c>
      <c r="BL40" s="855">
        <v>6604.91</v>
      </c>
      <c r="BM40" s="855">
        <v>0</v>
      </c>
      <c r="BN40" s="855">
        <v>6604.91</v>
      </c>
      <c r="BO40" s="855">
        <v>4623.4399999999996</v>
      </c>
      <c r="BP40" s="855"/>
      <c r="BQ40" s="855">
        <v>0</v>
      </c>
      <c r="BR40" s="855"/>
      <c r="BS40" s="855">
        <v>0</v>
      </c>
      <c r="BT40" s="855">
        <v>0</v>
      </c>
      <c r="BU40" s="855">
        <v>0</v>
      </c>
      <c r="BV40" s="581">
        <f t="shared" si="26"/>
        <v>66049.110000000015</v>
      </c>
      <c r="BW40" s="582">
        <f t="shared" si="27"/>
        <v>1745.3646886400165</v>
      </c>
      <c r="BX40" s="583">
        <f t="shared" si="28"/>
        <v>2.911981028373134E-2</v>
      </c>
    </row>
    <row r="41" spans="1:76" ht="15" hidden="1">
      <c r="A41" s="177">
        <v>218</v>
      </c>
      <c r="B41" s="594" t="s">
        <v>814</v>
      </c>
      <c r="C41" s="595" t="s">
        <v>815</v>
      </c>
      <c r="D41" s="534" t="s">
        <v>761</v>
      </c>
      <c r="E41" s="584">
        <v>44753</v>
      </c>
      <c r="F41" s="570">
        <v>5.19</v>
      </c>
      <c r="G41" s="570">
        <v>3.47</v>
      </c>
      <c r="H41" s="570">
        <v>26</v>
      </c>
      <c r="I41" s="569">
        <f t="shared" si="16"/>
        <v>1724.84</v>
      </c>
      <c r="J41" s="570">
        <f t="shared" ref="J41:J47" si="46">SUM(F41+G41)*H41</f>
        <v>225.16</v>
      </c>
      <c r="K41" s="571">
        <f t="shared" si="10"/>
        <v>168.87</v>
      </c>
      <c r="L41" s="571">
        <f t="shared" si="11"/>
        <v>56.29</v>
      </c>
      <c r="M41" s="570">
        <v>8810</v>
      </c>
      <c r="N41" s="568">
        <v>0.1716</v>
      </c>
      <c r="O41" s="602"/>
      <c r="P41" s="568"/>
      <c r="Q41" s="572">
        <f>W41*1.03</f>
        <v>23.071999999999999</v>
      </c>
      <c r="R41" s="572">
        <f t="shared" si="36"/>
        <v>23.76416</v>
      </c>
      <c r="S41" s="573">
        <f t="shared" si="18"/>
        <v>29846.631360000003</v>
      </c>
      <c r="T41" s="573">
        <f t="shared" si="19"/>
        <v>10247.343433599999</v>
      </c>
      <c r="U41" s="574">
        <f t="shared" ref="U41:U46" si="47">S41+T41</f>
        <v>40093.974793600006</v>
      </c>
      <c r="V41" s="575">
        <f t="shared" si="20"/>
        <v>45327.827999999994</v>
      </c>
      <c r="W41" s="744">
        <v>22.4</v>
      </c>
      <c r="X41" s="596">
        <v>1</v>
      </c>
      <c r="Y41" s="534">
        <v>1017</v>
      </c>
      <c r="Z41" s="570">
        <f t="shared" si="22"/>
        <v>218</v>
      </c>
      <c r="AA41" s="534" t="str">
        <f t="shared" si="22"/>
        <v>Davis</v>
      </c>
      <c r="AB41" s="534" t="str">
        <f t="shared" si="22"/>
        <v>Kaliegh</v>
      </c>
      <c r="AD41" s="577" t="str">
        <f t="shared" ref="AD41:AE54" si="48">AA41</f>
        <v>Davis</v>
      </c>
      <c r="AE41" s="578" t="str">
        <f t="shared" si="48"/>
        <v>Kaliegh</v>
      </c>
      <c r="AF41" s="578" t="s">
        <v>816</v>
      </c>
      <c r="AG41" s="579">
        <f t="shared" ref="AG41:AG48" si="49">1950*X41</f>
        <v>1950</v>
      </c>
      <c r="AH41" s="580">
        <v>39940</v>
      </c>
      <c r="AI41" s="580">
        <f t="shared" si="40"/>
        <v>40093.96679359999</v>
      </c>
      <c r="AJ41" s="580">
        <f t="shared" si="8"/>
        <v>5233.8532064000001</v>
      </c>
      <c r="AK41" s="855">
        <v>0</v>
      </c>
      <c r="AL41" s="855">
        <v>13145.07</v>
      </c>
      <c r="AM41" s="855">
        <v>0</v>
      </c>
      <c r="AN41" s="855">
        <v>0</v>
      </c>
      <c r="AO41" s="855">
        <v>0</v>
      </c>
      <c r="AP41" s="855">
        <v>0</v>
      </c>
      <c r="AQ41" s="855">
        <v>0</v>
      </c>
      <c r="AR41" s="855">
        <v>0</v>
      </c>
      <c r="AS41" s="855">
        <v>0</v>
      </c>
      <c r="AT41" s="855">
        <v>0</v>
      </c>
      <c r="AU41" s="855">
        <v>0</v>
      </c>
      <c r="AV41" s="855">
        <v>0</v>
      </c>
      <c r="AW41" s="855">
        <v>0</v>
      </c>
      <c r="AX41" s="855">
        <v>0</v>
      </c>
      <c r="AY41" s="855">
        <v>0</v>
      </c>
      <c r="AZ41" s="855">
        <v>0</v>
      </c>
      <c r="BA41" s="855">
        <v>0</v>
      </c>
      <c r="BB41" s="855">
        <v>0</v>
      </c>
      <c r="BC41" s="855">
        <v>0</v>
      </c>
      <c r="BD41" s="855">
        <v>0</v>
      </c>
      <c r="BE41" s="855">
        <v>0</v>
      </c>
      <c r="BF41" s="855">
        <v>0</v>
      </c>
      <c r="BG41" s="855">
        <v>0</v>
      </c>
      <c r="BH41" s="855">
        <v>0</v>
      </c>
      <c r="BI41" s="855">
        <v>4532.78</v>
      </c>
      <c r="BJ41" s="855">
        <v>0</v>
      </c>
      <c r="BK41" s="855">
        <v>15864.74</v>
      </c>
      <c r="BL41" s="855">
        <v>3172.95</v>
      </c>
      <c r="BM41" s="855">
        <v>1813.11</v>
      </c>
      <c r="BN41" s="855">
        <v>6799.17</v>
      </c>
      <c r="BO41" s="855">
        <v>0</v>
      </c>
      <c r="BP41" s="855"/>
      <c r="BQ41" s="855">
        <v>0</v>
      </c>
      <c r="BR41" s="855"/>
      <c r="BS41" s="855">
        <v>0</v>
      </c>
      <c r="BT41" s="855">
        <v>0</v>
      </c>
      <c r="BU41" s="855">
        <v>0</v>
      </c>
      <c r="BV41" s="581">
        <f t="shared" si="26"/>
        <v>45327.819999999992</v>
      </c>
      <c r="BW41" s="582">
        <f t="shared" si="27"/>
        <v>153.96679359998961</v>
      </c>
      <c r="BX41" s="583">
        <f t="shared" si="28"/>
        <v>3.8401486785429872E-3</v>
      </c>
    </row>
    <row r="42" spans="1:76" ht="15" hidden="1">
      <c r="A42" s="177">
        <v>124</v>
      </c>
      <c r="B42" s="564" t="s">
        <v>817</v>
      </c>
      <c r="C42" s="565" t="s">
        <v>818</v>
      </c>
      <c r="D42" s="566" t="s">
        <v>761</v>
      </c>
      <c r="E42" s="567">
        <v>41680</v>
      </c>
      <c r="F42" s="568">
        <v>6.92</v>
      </c>
      <c r="G42" s="568">
        <v>3.47</v>
      </c>
      <c r="H42" s="568">
        <v>26</v>
      </c>
      <c r="I42" s="569">
        <f t="shared" si="16"/>
        <v>1679.8600000000001</v>
      </c>
      <c r="J42" s="570">
        <f t="shared" si="46"/>
        <v>270.14</v>
      </c>
      <c r="K42" s="571">
        <f t="shared" si="10"/>
        <v>202.60499999999999</v>
      </c>
      <c r="L42" s="571">
        <f t="shared" si="11"/>
        <v>67.534999999999997</v>
      </c>
      <c r="M42" s="568">
        <v>8742</v>
      </c>
      <c r="N42" s="568">
        <v>0.35399999999999998</v>
      </c>
      <c r="O42" s="602"/>
      <c r="P42" s="568"/>
      <c r="Q42" s="572">
        <f>W42*1.03</f>
        <v>28.84</v>
      </c>
      <c r="R42" s="572">
        <f t="shared" si="36"/>
        <v>29.705200000000001</v>
      </c>
      <c r="S42" s="573">
        <f t="shared" si="18"/>
        <v>36335.371800000001</v>
      </c>
      <c r="T42" s="573">
        <f t="shared" si="19"/>
        <v>12475.144318000002</v>
      </c>
      <c r="U42" s="574">
        <f t="shared" si="47"/>
        <v>48810.516118</v>
      </c>
      <c r="V42" s="575">
        <f t="shared" si="20"/>
        <v>56659.785000000003</v>
      </c>
      <c r="W42" s="744">
        <v>28</v>
      </c>
      <c r="X42" s="576">
        <v>1</v>
      </c>
      <c r="Y42" s="566">
        <v>1016</v>
      </c>
      <c r="Z42" s="570">
        <f t="shared" si="22"/>
        <v>124</v>
      </c>
      <c r="AA42" s="534" t="str">
        <f t="shared" si="22"/>
        <v>Day</v>
      </c>
      <c r="AB42" s="534" t="str">
        <f t="shared" si="22"/>
        <v>Nicole</v>
      </c>
      <c r="AD42" s="577" t="str">
        <f t="shared" si="48"/>
        <v>Day</v>
      </c>
      <c r="AE42" s="578" t="str">
        <f t="shared" si="48"/>
        <v>Nicole</v>
      </c>
      <c r="AF42" s="578" t="s">
        <v>819</v>
      </c>
      <c r="AG42" s="579">
        <f t="shared" si="49"/>
        <v>1950</v>
      </c>
      <c r="AH42" s="580">
        <v>47381</v>
      </c>
      <c r="AI42" s="580">
        <f t="shared" si="40"/>
        <v>48810.521118000004</v>
      </c>
      <c r="AJ42" s="580">
        <f t="shared" si="8"/>
        <v>7849.2688820000003</v>
      </c>
      <c r="AK42" s="855">
        <v>0</v>
      </c>
      <c r="AL42" s="855">
        <v>0</v>
      </c>
      <c r="AM42" s="855">
        <v>0</v>
      </c>
      <c r="AN42" s="855">
        <v>0</v>
      </c>
      <c r="AO42" s="855">
        <v>0</v>
      </c>
      <c r="AP42" s="855">
        <v>0</v>
      </c>
      <c r="AQ42" s="855">
        <v>0</v>
      </c>
      <c r="AR42" s="855">
        <v>0</v>
      </c>
      <c r="AS42" s="855">
        <v>0</v>
      </c>
      <c r="AT42" s="855">
        <v>0</v>
      </c>
      <c r="AU42" s="855">
        <v>0</v>
      </c>
      <c r="AV42" s="855">
        <v>0</v>
      </c>
      <c r="AW42" s="855">
        <v>0</v>
      </c>
      <c r="AX42" s="855">
        <v>0</v>
      </c>
      <c r="AY42" s="855">
        <v>0</v>
      </c>
      <c r="AZ42" s="855">
        <v>0</v>
      </c>
      <c r="BA42" s="855">
        <v>0</v>
      </c>
      <c r="BB42" s="855">
        <v>0</v>
      </c>
      <c r="BC42" s="855">
        <v>0</v>
      </c>
      <c r="BD42" s="855">
        <v>56659.79</v>
      </c>
      <c r="BE42" s="855">
        <v>0</v>
      </c>
      <c r="BF42" s="855">
        <v>0</v>
      </c>
      <c r="BG42" s="855">
        <v>0</v>
      </c>
      <c r="BH42" s="855">
        <v>0</v>
      </c>
      <c r="BI42" s="855">
        <v>0</v>
      </c>
      <c r="BJ42" s="855">
        <v>0</v>
      </c>
      <c r="BK42" s="855">
        <v>0</v>
      </c>
      <c r="BL42" s="855">
        <v>0</v>
      </c>
      <c r="BM42" s="855">
        <v>0</v>
      </c>
      <c r="BN42" s="855">
        <v>0</v>
      </c>
      <c r="BO42" s="855">
        <v>0</v>
      </c>
      <c r="BP42" s="855"/>
      <c r="BQ42" s="855">
        <v>0</v>
      </c>
      <c r="BR42" s="855"/>
      <c r="BS42" s="855">
        <v>0</v>
      </c>
      <c r="BT42" s="855">
        <v>0</v>
      </c>
      <c r="BU42" s="855">
        <v>0</v>
      </c>
      <c r="BV42" s="581">
        <f t="shared" si="26"/>
        <v>56659.79</v>
      </c>
      <c r="BW42" s="582">
        <f t="shared" si="27"/>
        <v>1429.5211180000042</v>
      </c>
      <c r="BX42" s="583">
        <f t="shared" si="28"/>
        <v>2.9287151320186111E-2</v>
      </c>
    </row>
    <row r="43" spans="1:76" ht="15" hidden="1">
      <c r="A43" s="177">
        <v>180</v>
      </c>
      <c r="B43" s="564" t="s">
        <v>820</v>
      </c>
      <c r="C43" s="565" t="s">
        <v>821</v>
      </c>
      <c r="D43" s="568" t="s">
        <v>769</v>
      </c>
      <c r="E43" s="587">
        <v>44088</v>
      </c>
      <c r="F43" s="568">
        <v>5.19</v>
      </c>
      <c r="G43" s="568">
        <v>3.47</v>
      </c>
      <c r="H43" s="568">
        <v>26</v>
      </c>
      <c r="I43" s="569">
        <f t="shared" si="16"/>
        <v>1724.84</v>
      </c>
      <c r="J43" s="570">
        <f t="shared" si="46"/>
        <v>225.16</v>
      </c>
      <c r="K43" s="571">
        <f t="shared" si="10"/>
        <v>168.87</v>
      </c>
      <c r="L43" s="571">
        <f t="shared" si="11"/>
        <v>56.29</v>
      </c>
      <c r="M43" s="568">
        <v>8810</v>
      </c>
      <c r="N43" s="568">
        <v>0.1716</v>
      </c>
      <c r="O43" s="602"/>
      <c r="P43" s="568"/>
      <c r="Q43" s="572">
        <f>W43*1.03</f>
        <v>46.463300000000004</v>
      </c>
      <c r="R43" s="572">
        <f>Q43*1.03</f>
        <v>47.857199000000008</v>
      </c>
      <c r="S43" s="573">
        <f t="shared" si="18"/>
        <v>60106.318779000008</v>
      </c>
      <c r="T43" s="573">
        <f t="shared" si="19"/>
        <v>20636.502780790004</v>
      </c>
      <c r="U43" s="574">
        <f t="shared" si="47"/>
        <v>80742.821559790013</v>
      </c>
      <c r="V43" s="575">
        <f t="shared" si="20"/>
        <v>91282.960762500021</v>
      </c>
      <c r="W43" s="744">
        <v>45.11</v>
      </c>
      <c r="X43" s="576">
        <v>1</v>
      </c>
      <c r="Y43" s="566">
        <v>1005</v>
      </c>
      <c r="Z43" s="570">
        <f>A43</f>
        <v>180</v>
      </c>
      <c r="AA43" s="534" t="str">
        <f t="shared" si="22"/>
        <v>Didion</v>
      </c>
      <c r="AB43" s="534" t="str">
        <f t="shared" si="22"/>
        <v>Christine</v>
      </c>
      <c r="AD43" s="577" t="str">
        <f t="shared" si="48"/>
        <v>Didion</v>
      </c>
      <c r="AE43" s="578" t="str">
        <f t="shared" si="48"/>
        <v>Christine</v>
      </c>
      <c r="AF43" s="578" t="s">
        <v>822</v>
      </c>
      <c r="AG43" s="579">
        <f t="shared" si="49"/>
        <v>1950</v>
      </c>
      <c r="AH43" s="580">
        <v>78398</v>
      </c>
      <c r="AI43" s="580">
        <f>SUM(AK43:BU43)-AJ43</f>
        <v>80742.840797290002</v>
      </c>
      <c r="AJ43" s="580">
        <f t="shared" si="8"/>
        <v>10540.139202710001</v>
      </c>
      <c r="AK43" s="855">
        <v>0</v>
      </c>
      <c r="AL43" s="855">
        <v>0</v>
      </c>
      <c r="AM43" s="855">
        <v>16430.93</v>
      </c>
      <c r="AN43" s="855">
        <v>0</v>
      </c>
      <c r="AO43" s="855">
        <v>7302.64</v>
      </c>
      <c r="AP43" s="855">
        <v>0</v>
      </c>
      <c r="AQ43" s="855">
        <v>0</v>
      </c>
      <c r="AR43" s="855">
        <v>0</v>
      </c>
      <c r="AS43" s="855">
        <v>6389.81</v>
      </c>
      <c r="AT43" s="855">
        <v>0</v>
      </c>
      <c r="AU43" s="855">
        <v>0</v>
      </c>
      <c r="AV43" s="855">
        <v>0</v>
      </c>
      <c r="AW43" s="855">
        <v>3651.32</v>
      </c>
      <c r="AX43" s="855">
        <v>2738.49</v>
      </c>
      <c r="AY43" s="855">
        <v>912.83</v>
      </c>
      <c r="AZ43" s="855">
        <v>0</v>
      </c>
      <c r="BA43" s="855">
        <v>0</v>
      </c>
      <c r="BB43" s="855">
        <v>0</v>
      </c>
      <c r="BC43" s="855">
        <v>0</v>
      </c>
      <c r="BD43" s="855">
        <v>8215.4699999999993</v>
      </c>
      <c r="BE43" s="855">
        <v>0</v>
      </c>
      <c r="BF43" s="855">
        <v>0</v>
      </c>
      <c r="BG43" s="855">
        <v>0</v>
      </c>
      <c r="BH43" s="855">
        <v>0</v>
      </c>
      <c r="BI43" s="855">
        <v>0</v>
      </c>
      <c r="BJ43" s="855">
        <v>0</v>
      </c>
      <c r="BK43" s="855">
        <v>33774.699999999997</v>
      </c>
      <c r="BL43" s="855">
        <v>0</v>
      </c>
      <c r="BM43" s="855">
        <v>5476.98</v>
      </c>
      <c r="BN43" s="855">
        <v>0</v>
      </c>
      <c r="BO43" s="855">
        <v>6389.81</v>
      </c>
      <c r="BP43" s="855"/>
      <c r="BQ43" s="855">
        <v>0</v>
      </c>
      <c r="BR43" s="855"/>
      <c r="BS43" s="855">
        <v>0</v>
      </c>
      <c r="BT43" s="855">
        <v>0</v>
      </c>
      <c r="BU43" s="855">
        <v>0</v>
      </c>
      <c r="BV43" s="581">
        <f t="shared" si="26"/>
        <v>91282.98</v>
      </c>
      <c r="BW43" s="582">
        <f t="shared" si="27"/>
        <v>2344.8407972900022</v>
      </c>
      <c r="BX43" s="583">
        <f t="shared" si="28"/>
        <v>2.9040850856076217E-2</v>
      </c>
    </row>
    <row r="44" spans="1:76" ht="15" hidden="1">
      <c r="A44" s="177">
        <v>220</v>
      </c>
      <c r="B44" s="564" t="s">
        <v>823</v>
      </c>
      <c r="C44" s="565" t="s">
        <v>824</v>
      </c>
      <c r="D44" s="568" t="s">
        <v>769</v>
      </c>
      <c r="E44" s="587"/>
      <c r="F44" s="568"/>
      <c r="G44" s="568"/>
      <c r="H44" s="568"/>
      <c r="I44" s="569"/>
      <c r="J44" s="570"/>
      <c r="K44" s="571"/>
      <c r="L44" s="571"/>
      <c r="M44" s="568"/>
      <c r="N44" s="568"/>
      <c r="O44" s="602"/>
      <c r="P44" s="568"/>
      <c r="Q44" s="572"/>
      <c r="R44" s="572"/>
      <c r="S44" s="573"/>
      <c r="T44" s="573"/>
      <c r="U44" s="574"/>
      <c r="V44" s="575"/>
      <c r="W44" s="744"/>
      <c r="X44" s="576"/>
      <c r="Y44" s="566">
        <v>1010</v>
      </c>
      <c r="Z44" s="570">
        <f>A44</f>
        <v>220</v>
      </c>
      <c r="AA44" s="534" t="str">
        <f t="shared" si="22"/>
        <v>Dillon</v>
      </c>
      <c r="AB44" s="534" t="str">
        <f t="shared" si="22"/>
        <v xml:space="preserve">Fitzroy </v>
      </c>
      <c r="AD44" s="577" t="str">
        <f t="shared" si="48"/>
        <v>Dillon</v>
      </c>
      <c r="AE44" s="578" t="str">
        <f t="shared" si="48"/>
        <v xml:space="preserve">Fitzroy </v>
      </c>
      <c r="AF44" s="578" t="s">
        <v>825</v>
      </c>
      <c r="AG44" s="579">
        <f t="shared" si="49"/>
        <v>0</v>
      </c>
      <c r="AH44" s="580">
        <v>35411</v>
      </c>
      <c r="AI44" s="580">
        <f t="shared" si="40"/>
        <v>0</v>
      </c>
      <c r="AJ44" s="580">
        <f t="shared" si="8"/>
        <v>0</v>
      </c>
      <c r="AK44" s="855">
        <v>0</v>
      </c>
      <c r="AL44" s="855">
        <v>0</v>
      </c>
      <c r="AM44" s="855">
        <v>0</v>
      </c>
      <c r="AN44" s="855">
        <v>0</v>
      </c>
      <c r="AO44" s="855">
        <v>0</v>
      </c>
      <c r="AP44" s="855">
        <v>0</v>
      </c>
      <c r="AQ44" s="855">
        <v>0</v>
      </c>
      <c r="AR44" s="855">
        <v>0</v>
      </c>
      <c r="AS44" s="855">
        <v>0</v>
      </c>
      <c r="AT44" s="855">
        <v>0</v>
      </c>
      <c r="AU44" s="855">
        <v>0</v>
      </c>
      <c r="AV44" s="855">
        <v>0</v>
      </c>
      <c r="AW44" s="855">
        <v>0</v>
      </c>
      <c r="AX44" s="855">
        <v>0</v>
      </c>
      <c r="AY44" s="855">
        <v>0</v>
      </c>
      <c r="AZ44" s="855">
        <v>0</v>
      </c>
      <c r="BA44" s="855">
        <v>0</v>
      </c>
      <c r="BB44" s="855">
        <v>0</v>
      </c>
      <c r="BC44" s="855">
        <v>0</v>
      </c>
      <c r="BD44" s="855">
        <v>0</v>
      </c>
      <c r="BE44" s="855">
        <v>0</v>
      </c>
      <c r="BF44" s="855">
        <v>0</v>
      </c>
      <c r="BG44" s="855">
        <v>0</v>
      </c>
      <c r="BH44" s="855">
        <v>0</v>
      </c>
      <c r="BI44" s="855">
        <v>0</v>
      </c>
      <c r="BJ44" s="855">
        <v>0</v>
      </c>
      <c r="BK44" s="855">
        <v>0</v>
      </c>
      <c r="BL44" s="855">
        <v>0</v>
      </c>
      <c r="BM44" s="855">
        <v>0</v>
      </c>
      <c r="BN44" s="855">
        <v>0</v>
      </c>
      <c r="BO44" s="855">
        <v>0</v>
      </c>
      <c r="BP44" s="855"/>
      <c r="BQ44" s="855">
        <v>0</v>
      </c>
      <c r="BR44" s="855"/>
      <c r="BS44" s="855">
        <v>0</v>
      </c>
      <c r="BT44" s="855">
        <v>0</v>
      </c>
      <c r="BU44" s="855">
        <v>0</v>
      </c>
      <c r="BV44" s="581">
        <f t="shared" si="26"/>
        <v>0</v>
      </c>
      <c r="BW44" s="582">
        <f t="shared" si="27"/>
        <v>-35411</v>
      </c>
      <c r="BX44" s="583" t="e">
        <f t="shared" si="28"/>
        <v>#DIV/0!</v>
      </c>
    </row>
    <row r="45" spans="1:76" ht="15" hidden="1">
      <c r="A45" s="177"/>
      <c r="B45" s="564" t="s">
        <v>826</v>
      </c>
      <c r="C45" s="565" t="s">
        <v>827</v>
      </c>
      <c r="D45" s="568" t="s">
        <v>761</v>
      </c>
      <c r="E45" s="587">
        <v>45957</v>
      </c>
      <c r="F45" s="568">
        <v>3.47</v>
      </c>
      <c r="G45" s="568">
        <v>3.47</v>
      </c>
      <c r="H45" s="568">
        <v>26</v>
      </c>
      <c r="I45" s="569">
        <f>AG45-J45</f>
        <v>1769.56</v>
      </c>
      <c r="J45" s="570">
        <f>SUM(F45+G45)*H45</f>
        <v>180.44</v>
      </c>
      <c r="K45" s="571">
        <f t="shared" ref="K45" si="50">J45*$K$22</f>
        <v>135.32999999999998</v>
      </c>
      <c r="L45" s="571">
        <f t="shared" ref="L45" si="51">J45*$L$22</f>
        <v>45.11</v>
      </c>
      <c r="M45" s="568">
        <v>8810</v>
      </c>
      <c r="N45" s="568">
        <v>0.1716</v>
      </c>
      <c r="O45" s="602">
        <v>1</v>
      </c>
      <c r="P45" s="568"/>
      <c r="Q45" s="572">
        <f>(W45+O45)*1.03</f>
        <v>22.66</v>
      </c>
      <c r="R45" s="572">
        <f>Q45*1.03</f>
        <v>23.3398</v>
      </c>
      <c r="S45" s="573">
        <f>SUM(Q45*((AG45*0.75)-K45))</f>
        <v>30073.672200000001</v>
      </c>
      <c r="T45" s="573">
        <f>SUM(R45*((AG45*0.25)-L45))</f>
        <v>10325.294121999999</v>
      </c>
      <c r="U45" s="574">
        <f>S45+T45</f>
        <v>40398.966322</v>
      </c>
      <c r="V45" s="575">
        <f>Q45*(AG45*0.75)+R45*(AG45*0.25)</f>
        <v>44518.402499999997</v>
      </c>
      <c r="W45" s="744">
        <v>21</v>
      </c>
      <c r="X45" s="576">
        <v>1</v>
      </c>
      <c r="Y45" s="566"/>
      <c r="Z45" s="570"/>
      <c r="AA45" s="534"/>
      <c r="AB45" s="534"/>
      <c r="AD45" s="577" t="str">
        <f>B45</f>
        <v>Eaton</v>
      </c>
      <c r="AE45" s="577" t="str">
        <f>C45</f>
        <v xml:space="preserve">Bryce </v>
      </c>
      <c r="AF45" s="578" t="s">
        <v>801</v>
      </c>
      <c r="AG45" s="579">
        <f t="shared" si="49"/>
        <v>1950</v>
      </c>
      <c r="AH45" s="580">
        <v>0</v>
      </c>
      <c r="AI45" s="580">
        <f t="shared" ref="AI45" si="52">SUM(AK45:BU45)-AJ45</f>
        <v>40398.973822</v>
      </c>
      <c r="AJ45" s="580">
        <f t="shared" ref="AJ45" si="53">(Q45*K45)+(R45*L45)</f>
        <v>4119.4361779999999</v>
      </c>
      <c r="AK45" s="855">
        <v>0</v>
      </c>
      <c r="AL45" s="855">
        <v>0</v>
      </c>
      <c r="AM45" s="855">
        <v>0</v>
      </c>
      <c r="AN45" s="855">
        <v>0</v>
      </c>
      <c r="AO45" s="855">
        <v>0</v>
      </c>
      <c r="AP45" s="855">
        <v>0</v>
      </c>
      <c r="AQ45" s="855">
        <v>0</v>
      </c>
      <c r="AR45" s="855">
        <v>0</v>
      </c>
      <c r="AS45" s="855">
        <v>0</v>
      </c>
      <c r="AT45" s="855">
        <v>0</v>
      </c>
      <c r="AU45" s="855">
        <v>0</v>
      </c>
      <c r="AV45" s="855">
        <v>0</v>
      </c>
      <c r="AW45" s="855">
        <v>0</v>
      </c>
      <c r="AX45" s="855">
        <v>0</v>
      </c>
      <c r="AY45" s="855">
        <v>0</v>
      </c>
      <c r="AZ45" s="855">
        <v>0</v>
      </c>
      <c r="BA45" s="855">
        <v>0</v>
      </c>
      <c r="BB45" s="855">
        <v>0</v>
      </c>
      <c r="BC45" s="855">
        <v>0</v>
      </c>
      <c r="BD45" s="855">
        <v>0</v>
      </c>
      <c r="BE45" s="855">
        <v>0</v>
      </c>
      <c r="BF45" s="855">
        <v>0</v>
      </c>
      <c r="BG45" s="855">
        <v>0</v>
      </c>
      <c r="BH45" s="855">
        <v>0</v>
      </c>
      <c r="BI45" s="855">
        <v>0</v>
      </c>
      <c r="BJ45" s="855">
        <v>0</v>
      </c>
      <c r="BK45" s="855">
        <v>33833.99</v>
      </c>
      <c r="BL45" s="855">
        <v>0</v>
      </c>
      <c r="BM45" s="855">
        <v>10684.42</v>
      </c>
      <c r="BN45" s="855">
        <v>0</v>
      </c>
      <c r="BO45" s="855">
        <v>0</v>
      </c>
      <c r="BP45" s="855"/>
      <c r="BQ45" s="855">
        <v>0</v>
      </c>
      <c r="BR45" s="855"/>
      <c r="BS45" s="855">
        <v>0</v>
      </c>
      <c r="BT45" s="855">
        <v>0</v>
      </c>
      <c r="BU45" s="855">
        <v>0</v>
      </c>
      <c r="BV45" s="581">
        <f t="shared" si="26"/>
        <v>44518.409999999996</v>
      </c>
      <c r="BW45" s="582">
        <f t="shared" si="27"/>
        <v>40398.973822</v>
      </c>
      <c r="BX45" s="583">
        <f t="shared" si="28"/>
        <v>1</v>
      </c>
    </row>
    <row r="46" spans="1:76" ht="15" hidden="1">
      <c r="A46" s="177">
        <v>154</v>
      </c>
      <c r="B46" s="564" t="s">
        <v>828</v>
      </c>
      <c r="C46" s="565" t="s">
        <v>829</v>
      </c>
      <c r="D46" s="568" t="s">
        <v>830</v>
      </c>
      <c r="E46" s="587">
        <v>43369</v>
      </c>
      <c r="F46" s="568">
        <v>5.19</v>
      </c>
      <c r="G46" s="568">
        <v>3.47</v>
      </c>
      <c r="H46" s="568">
        <v>26</v>
      </c>
      <c r="I46" s="569">
        <f>AG46-J46</f>
        <v>1724.84</v>
      </c>
      <c r="J46" s="570">
        <f t="shared" si="46"/>
        <v>225.16</v>
      </c>
      <c r="K46" s="571">
        <f t="shared" si="10"/>
        <v>168.87</v>
      </c>
      <c r="L46" s="571">
        <f t="shared" si="11"/>
        <v>56.29</v>
      </c>
      <c r="M46" s="568">
        <v>8810</v>
      </c>
      <c r="N46" s="568">
        <v>0.1716</v>
      </c>
      <c r="O46" s="602"/>
      <c r="P46" s="568"/>
      <c r="Q46" s="572">
        <f>W46*1.03</f>
        <v>25.4925</v>
      </c>
      <c r="R46" s="572">
        <f>Q46*1.03</f>
        <v>26.257275</v>
      </c>
      <c r="S46" s="573">
        <f>SUM(Q46*((AG46*0.75)-K46))</f>
        <v>32977.862775000001</v>
      </c>
      <c r="T46" s="573">
        <f>SUM(R46*((AG46*0.25)-L46))</f>
        <v>11322.399552749999</v>
      </c>
      <c r="U46" s="574">
        <f t="shared" si="47"/>
        <v>44300.262327750002</v>
      </c>
      <c r="V46" s="575">
        <f>Q46*(AG46*0.75)+R46*(AG46*0.25)</f>
        <v>50083.2028125</v>
      </c>
      <c r="W46" s="744">
        <v>24.75</v>
      </c>
      <c r="X46" s="576">
        <v>1</v>
      </c>
      <c r="Y46" s="566">
        <v>1017</v>
      </c>
      <c r="Z46" s="570">
        <f>A46</f>
        <v>154</v>
      </c>
      <c r="AA46" s="534" t="str">
        <f t="shared" si="22"/>
        <v>Elliott</v>
      </c>
      <c r="AB46" s="534" t="str">
        <f t="shared" si="22"/>
        <v>Jennifer</v>
      </c>
      <c r="AD46" s="577" t="str">
        <f t="shared" si="48"/>
        <v>Elliott</v>
      </c>
      <c r="AE46" s="578" t="str">
        <f t="shared" si="48"/>
        <v>Jennifer</v>
      </c>
      <c r="AF46" s="578" t="s">
        <v>816</v>
      </c>
      <c r="AG46" s="579">
        <f t="shared" si="49"/>
        <v>1950</v>
      </c>
      <c r="AH46" s="580">
        <v>43012</v>
      </c>
      <c r="AI46" s="580">
        <f t="shared" si="40"/>
        <v>44300.25951525</v>
      </c>
      <c r="AJ46" s="580">
        <f t="shared" si="8"/>
        <v>5782.9404847500009</v>
      </c>
      <c r="AK46" s="855">
        <v>0</v>
      </c>
      <c r="AL46" s="855">
        <v>30049.919999999998</v>
      </c>
      <c r="AM46" s="855">
        <v>0</v>
      </c>
      <c r="AN46" s="855">
        <v>0</v>
      </c>
      <c r="AO46" s="855">
        <v>0</v>
      </c>
      <c r="AP46" s="855">
        <v>0</v>
      </c>
      <c r="AQ46" s="855">
        <v>0</v>
      </c>
      <c r="AR46" s="855">
        <v>0</v>
      </c>
      <c r="AS46" s="855">
        <v>0</v>
      </c>
      <c r="AT46" s="855">
        <v>0</v>
      </c>
      <c r="AU46" s="855">
        <v>0</v>
      </c>
      <c r="AV46" s="855">
        <v>0</v>
      </c>
      <c r="AW46" s="855">
        <v>0</v>
      </c>
      <c r="AX46" s="855">
        <v>0</v>
      </c>
      <c r="AY46" s="855">
        <v>0</v>
      </c>
      <c r="AZ46" s="855">
        <v>0</v>
      </c>
      <c r="BA46" s="855">
        <v>0</v>
      </c>
      <c r="BB46" s="855">
        <v>0</v>
      </c>
      <c r="BC46" s="855">
        <v>0</v>
      </c>
      <c r="BD46" s="855">
        <v>0</v>
      </c>
      <c r="BE46" s="855">
        <v>0</v>
      </c>
      <c r="BF46" s="855">
        <v>0</v>
      </c>
      <c r="BG46" s="855">
        <v>0</v>
      </c>
      <c r="BH46" s="855">
        <v>0</v>
      </c>
      <c r="BI46" s="855">
        <v>0</v>
      </c>
      <c r="BJ46" s="855">
        <v>5008.32</v>
      </c>
      <c r="BK46" s="855">
        <v>15024.96</v>
      </c>
      <c r="BL46" s="855">
        <v>0</v>
      </c>
      <c r="BM46" s="855">
        <v>0</v>
      </c>
      <c r="BN46" s="855">
        <v>0</v>
      </c>
      <c r="BO46" s="855">
        <v>0</v>
      </c>
      <c r="BP46" s="855"/>
      <c r="BQ46" s="855">
        <v>0</v>
      </c>
      <c r="BR46" s="855"/>
      <c r="BS46" s="855">
        <v>0</v>
      </c>
      <c r="BT46" s="855">
        <v>0</v>
      </c>
      <c r="BU46" s="855">
        <v>0</v>
      </c>
      <c r="BV46" s="581">
        <f t="shared" si="26"/>
        <v>50083.199999999997</v>
      </c>
      <c r="BW46" s="582">
        <f t="shared" si="27"/>
        <v>1288.2595152499998</v>
      </c>
      <c r="BX46" s="583">
        <f t="shared" si="28"/>
        <v>2.9080179875843104E-2</v>
      </c>
    </row>
    <row r="47" spans="1:76" ht="15" hidden="1">
      <c r="A47" s="177"/>
      <c r="B47" s="564" t="s">
        <v>831</v>
      </c>
      <c r="C47" s="565" t="s">
        <v>772</v>
      </c>
      <c r="D47" s="566"/>
      <c r="E47" s="567">
        <v>43843</v>
      </c>
      <c r="F47" s="568">
        <v>5.19</v>
      </c>
      <c r="G47" s="568">
        <v>3.47</v>
      </c>
      <c r="H47" s="568">
        <v>26</v>
      </c>
      <c r="I47" s="569">
        <f>AG47-J47</f>
        <v>1724.84</v>
      </c>
      <c r="J47" s="570">
        <f t="shared" si="46"/>
        <v>225.16</v>
      </c>
      <c r="K47" s="571">
        <f t="shared" si="10"/>
        <v>168.87</v>
      </c>
      <c r="L47" s="571">
        <f t="shared" si="11"/>
        <v>56.29</v>
      </c>
      <c r="M47" s="568">
        <v>8810</v>
      </c>
      <c r="N47" s="568">
        <v>0.1716</v>
      </c>
      <c r="O47" s="602">
        <v>1</v>
      </c>
      <c r="P47" s="568"/>
      <c r="Q47" s="572">
        <f>(W47+O47)*1.03</f>
        <v>25.811799999999998</v>
      </c>
      <c r="R47" s="572">
        <f>Q47*1.03</f>
        <v>26.586153999999997</v>
      </c>
      <c r="S47" s="573">
        <f>SUM(Q47*((AG47*0.75)-K47))</f>
        <v>33390.918834000004</v>
      </c>
      <c r="T47" s="573">
        <f>SUM(R47*((AG47*0.25)-L47))</f>
        <v>11464.215466339998</v>
      </c>
      <c r="U47" s="574">
        <f>S47+T47</f>
        <v>44855.134300340003</v>
      </c>
      <c r="V47" s="575">
        <f>Q47*(AG47*0.75)+R47*(AG47*0.25)</f>
        <v>50710.507574999996</v>
      </c>
      <c r="W47" s="744">
        <v>24.06</v>
      </c>
      <c r="X47" s="576">
        <v>1</v>
      </c>
      <c r="Y47" s="566"/>
      <c r="Z47" s="570"/>
      <c r="AA47" s="534" t="str">
        <f t="shared" si="22"/>
        <v>Foley</v>
      </c>
      <c r="AB47" s="534" t="str">
        <f t="shared" si="22"/>
        <v>Jessica</v>
      </c>
      <c r="AD47" s="577" t="s">
        <v>832</v>
      </c>
      <c r="AE47" s="578" t="str">
        <f t="shared" si="48"/>
        <v>Jessica</v>
      </c>
      <c r="AF47" s="578" t="s">
        <v>833</v>
      </c>
      <c r="AG47" s="579">
        <v>1950</v>
      </c>
      <c r="AH47" s="580">
        <v>41812</v>
      </c>
      <c r="AI47" s="580">
        <f t="shared" si="40"/>
        <v>44855.136725340002</v>
      </c>
      <c r="AJ47" s="580">
        <f t="shared" si="8"/>
        <v>5855.3732746599999</v>
      </c>
      <c r="AK47" s="855">
        <v>0</v>
      </c>
      <c r="AL47" s="855">
        <v>0</v>
      </c>
      <c r="AM47" s="855">
        <v>0</v>
      </c>
      <c r="AN47" s="855">
        <v>0</v>
      </c>
      <c r="AO47" s="855">
        <v>0</v>
      </c>
      <c r="AP47" s="855">
        <v>0</v>
      </c>
      <c r="AQ47" s="855">
        <v>0</v>
      </c>
      <c r="AR47" s="855">
        <v>0</v>
      </c>
      <c r="AS47" s="855">
        <v>0</v>
      </c>
      <c r="AT47" s="855">
        <v>0</v>
      </c>
      <c r="AU47" s="855">
        <v>0</v>
      </c>
      <c r="AV47" s="855">
        <v>0</v>
      </c>
      <c r="AW47" s="855">
        <v>0</v>
      </c>
      <c r="AX47" s="855">
        <v>0</v>
      </c>
      <c r="AY47" s="855">
        <v>0</v>
      </c>
      <c r="AZ47" s="855">
        <v>0</v>
      </c>
      <c r="BA47" s="855">
        <v>0</v>
      </c>
      <c r="BB47" s="855">
        <v>0</v>
      </c>
      <c r="BC47" s="855">
        <v>0</v>
      </c>
      <c r="BD47" s="855">
        <v>0</v>
      </c>
      <c r="BE47" s="855">
        <v>0</v>
      </c>
      <c r="BF47" s="855">
        <v>0</v>
      </c>
      <c r="BG47" s="855">
        <v>0</v>
      </c>
      <c r="BH47" s="855">
        <v>0</v>
      </c>
      <c r="BI47" s="855">
        <v>0</v>
      </c>
      <c r="BJ47" s="855">
        <v>0</v>
      </c>
      <c r="BK47" s="855">
        <v>0</v>
      </c>
      <c r="BL47" s="855">
        <v>0</v>
      </c>
      <c r="BM47" s="855">
        <v>0</v>
      </c>
      <c r="BN47" s="855">
        <v>0</v>
      </c>
      <c r="BO47" s="855">
        <v>0</v>
      </c>
      <c r="BP47" s="855"/>
      <c r="BQ47" s="855">
        <v>0</v>
      </c>
      <c r="BR47" s="855">
        <v>50710.51</v>
      </c>
      <c r="BS47" s="855">
        <v>0</v>
      </c>
      <c r="BT47" s="855">
        <v>0</v>
      </c>
      <c r="BU47" s="855">
        <v>0</v>
      </c>
      <c r="BV47" s="581">
        <f t="shared" si="26"/>
        <v>50710.51</v>
      </c>
      <c r="BW47" s="582">
        <f t="shared" si="27"/>
        <v>3043.1367253400022</v>
      </c>
      <c r="BX47" s="583">
        <f t="shared" si="28"/>
        <v>6.7843661785581877E-2</v>
      </c>
    </row>
    <row r="48" spans="1:76" ht="15" hidden="1">
      <c r="A48" s="177">
        <v>117</v>
      </c>
      <c r="B48" s="564" t="s">
        <v>834</v>
      </c>
      <c r="C48" s="565" t="s">
        <v>835</v>
      </c>
      <c r="D48" s="566"/>
      <c r="E48" s="567"/>
      <c r="F48" s="568"/>
      <c r="G48" s="568"/>
      <c r="H48" s="568"/>
      <c r="I48" s="569"/>
      <c r="J48" s="570"/>
      <c r="K48" s="571"/>
      <c r="L48" s="571"/>
      <c r="M48" s="568"/>
      <c r="N48" s="568"/>
      <c r="O48" s="602"/>
      <c r="P48" s="568"/>
      <c r="Q48" s="572"/>
      <c r="R48" s="572"/>
      <c r="S48" s="573"/>
      <c r="T48" s="573"/>
      <c r="U48" s="574"/>
      <c r="V48" s="575"/>
      <c r="W48" s="744"/>
      <c r="X48" s="576"/>
      <c r="Y48" s="566">
        <v>1025</v>
      </c>
      <c r="Z48" s="570">
        <f t="shared" ref="Z48:AB66" si="54">A48</f>
        <v>117</v>
      </c>
      <c r="AA48" s="534" t="str">
        <f t="shared" si="54"/>
        <v>Fortney</v>
      </c>
      <c r="AB48" s="534" t="str">
        <f t="shared" si="54"/>
        <v>Geralyn</v>
      </c>
      <c r="AD48" s="577" t="str">
        <f t="shared" si="48"/>
        <v>Fortney</v>
      </c>
      <c r="AE48" s="578" t="str">
        <f t="shared" si="48"/>
        <v>Geralyn</v>
      </c>
      <c r="AF48" s="578" t="s">
        <v>789</v>
      </c>
      <c r="AG48" s="579">
        <f t="shared" si="49"/>
        <v>0</v>
      </c>
      <c r="AH48" s="580">
        <v>58365</v>
      </c>
      <c r="AI48" s="580">
        <f t="shared" si="40"/>
        <v>0</v>
      </c>
      <c r="AJ48" s="580">
        <f t="shared" si="8"/>
        <v>0</v>
      </c>
      <c r="AK48" s="855">
        <v>0</v>
      </c>
      <c r="AL48" s="855">
        <v>0</v>
      </c>
      <c r="AM48" s="855">
        <v>0</v>
      </c>
      <c r="AN48" s="855">
        <v>0</v>
      </c>
      <c r="AO48" s="855">
        <v>0</v>
      </c>
      <c r="AP48" s="855">
        <v>0</v>
      </c>
      <c r="AQ48" s="855">
        <v>0</v>
      </c>
      <c r="AR48" s="855">
        <v>0</v>
      </c>
      <c r="AS48" s="855">
        <v>0</v>
      </c>
      <c r="AT48" s="855">
        <v>0</v>
      </c>
      <c r="AU48" s="855">
        <v>0</v>
      </c>
      <c r="AV48" s="855">
        <v>0</v>
      </c>
      <c r="AW48" s="855">
        <v>0</v>
      </c>
      <c r="AX48" s="855">
        <v>0</v>
      </c>
      <c r="AY48" s="855">
        <v>0</v>
      </c>
      <c r="AZ48" s="855">
        <v>0</v>
      </c>
      <c r="BA48" s="855">
        <v>0</v>
      </c>
      <c r="BB48" s="855">
        <v>0</v>
      </c>
      <c r="BC48" s="855">
        <v>0</v>
      </c>
      <c r="BD48" s="855">
        <v>0</v>
      </c>
      <c r="BE48" s="855">
        <v>0</v>
      </c>
      <c r="BF48" s="855">
        <v>0</v>
      </c>
      <c r="BG48" s="855">
        <v>0</v>
      </c>
      <c r="BH48" s="855">
        <v>0</v>
      </c>
      <c r="BI48" s="855">
        <v>0</v>
      </c>
      <c r="BJ48" s="855">
        <v>0</v>
      </c>
      <c r="BK48" s="855">
        <v>0</v>
      </c>
      <c r="BL48" s="855">
        <v>0</v>
      </c>
      <c r="BM48" s="855">
        <v>0</v>
      </c>
      <c r="BN48" s="855">
        <v>0</v>
      </c>
      <c r="BO48" s="855">
        <v>0</v>
      </c>
      <c r="BP48" s="855"/>
      <c r="BQ48" s="855">
        <v>0</v>
      </c>
      <c r="BR48" s="855"/>
      <c r="BS48" s="855">
        <v>0</v>
      </c>
      <c r="BT48" s="855">
        <v>0</v>
      </c>
      <c r="BU48" s="855">
        <v>0</v>
      </c>
      <c r="BV48" s="581">
        <f t="shared" si="26"/>
        <v>0</v>
      </c>
      <c r="BW48" s="582">
        <f t="shared" si="27"/>
        <v>-58365</v>
      </c>
      <c r="BX48" s="583" t="e">
        <f t="shared" si="28"/>
        <v>#DIV/0!</v>
      </c>
    </row>
    <row r="49" spans="1:76" ht="15" hidden="1">
      <c r="A49" s="177">
        <v>237</v>
      </c>
      <c r="B49" s="564" t="s">
        <v>836</v>
      </c>
      <c r="C49" s="565" t="s">
        <v>837</v>
      </c>
      <c r="D49" s="566" t="s">
        <v>761</v>
      </c>
      <c r="E49" s="567">
        <v>44949</v>
      </c>
      <c r="F49" s="568">
        <v>3.47</v>
      </c>
      <c r="G49" s="568">
        <v>3.47</v>
      </c>
      <c r="H49" s="568">
        <v>26</v>
      </c>
      <c r="I49" s="569">
        <f>AG49-J49</f>
        <v>1769.56</v>
      </c>
      <c r="J49" s="570">
        <f>SUM(F49+G49)*H49</f>
        <v>180.44</v>
      </c>
      <c r="K49" s="571">
        <f t="shared" si="10"/>
        <v>135.32999999999998</v>
      </c>
      <c r="L49" s="571">
        <f t="shared" si="11"/>
        <v>45.11</v>
      </c>
      <c r="M49" s="568">
        <v>8810</v>
      </c>
      <c r="N49" s="568">
        <v>0.1716</v>
      </c>
      <c r="O49" s="602"/>
      <c r="P49" s="568"/>
      <c r="Q49" s="572">
        <f>W49*1.03+O49</f>
        <v>31.281100000000002</v>
      </c>
      <c r="R49" s="572">
        <f t="shared" ref="R49:R58" si="55">Q49*1.03</f>
        <v>32.219533000000006</v>
      </c>
      <c r="S49" s="573">
        <f>SUM(Q49*((AG49*0.75)-K49))</f>
        <v>41515.337487000004</v>
      </c>
      <c r="T49" s="573">
        <f>SUM(R49*((AG49*0.25)-L49))</f>
        <v>14253.599203870002</v>
      </c>
      <c r="U49" s="574">
        <f>S49+T49</f>
        <v>55768.936690870003</v>
      </c>
      <c r="V49" s="575">
        <f>Q49*(AG49*0.75)+R49*(AG49*0.25)</f>
        <v>61455.631087500005</v>
      </c>
      <c r="W49" s="744">
        <v>30.37</v>
      </c>
      <c r="X49" s="576">
        <v>1</v>
      </c>
      <c r="Y49" s="566">
        <v>1093</v>
      </c>
      <c r="Z49" s="570">
        <f t="shared" si="54"/>
        <v>237</v>
      </c>
      <c r="AA49" s="534" t="str">
        <f t="shared" si="54"/>
        <v>Galvan</v>
      </c>
      <c r="AB49" s="534" t="str">
        <f t="shared" si="54"/>
        <v>Cynthia</v>
      </c>
      <c r="AD49" s="577" t="str">
        <f t="shared" si="48"/>
        <v>Galvan</v>
      </c>
      <c r="AE49" s="578" t="str">
        <f t="shared" si="48"/>
        <v>Cynthia</v>
      </c>
      <c r="AF49" s="578" t="s">
        <v>838</v>
      </c>
      <c r="AG49" s="579">
        <f>1950*X49</f>
        <v>1950</v>
      </c>
      <c r="AH49" s="580">
        <v>54153</v>
      </c>
      <c r="AI49" s="580">
        <f t="shared" si="40"/>
        <v>55768.94560336999</v>
      </c>
      <c r="AJ49" s="580">
        <f t="shared" si="8"/>
        <v>5686.6943966299996</v>
      </c>
      <c r="AK49" s="855">
        <v>0</v>
      </c>
      <c r="AL49" s="855">
        <v>0</v>
      </c>
      <c r="AM49" s="855">
        <v>0</v>
      </c>
      <c r="AN49" s="855">
        <v>0</v>
      </c>
      <c r="AO49" s="855">
        <v>0</v>
      </c>
      <c r="AP49" s="855">
        <v>0</v>
      </c>
      <c r="AQ49" s="855">
        <v>0</v>
      </c>
      <c r="AR49" s="855">
        <v>0</v>
      </c>
      <c r="AS49" s="855">
        <v>0</v>
      </c>
      <c r="AT49" s="855">
        <v>0</v>
      </c>
      <c r="AU49" s="855">
        <v>0</v>
      </c>
      <c r="AV49" s="855">
        <v>0</v>
      </c>
      <c r="AW49" s="855">
        <v>0</v>
      </c>
      <c r="AX49" s="855">
        <v>0</v>
      </c>
      <c r="AY49" s="855">
        <v>0</v>
      </c>
      <c r="AZ49" s="855">
        <v>0</v>
      </c>
      <c r="BA49" s="855">
        <v>0</v>
      </c>
      <c r="BB49" s="855">
        <v>0</v>
      </c>
      <c r="BC49" s="855">
        <v>0</v>
      </c>
      <c r="BD49" s="855">
        <v>0</v>
      </c>
      <c r="BE49" s="855">
        <v>0</v>
      </c>
      <c r="BF49" s="855">
        <v>0</v>
      </c>
      <c r="BG49" s="855">
        <v>0</v>
      </c>
      <c r="BH49" s="855">
        <v>0</v>
      </c>
      <c r="BI49" s="855">
        <v>6760.12</v>
      </c>
      <c r="BJ49" s="855">
        <v>7374.68</v>
      </c>
      <c r="BK49" s="855">
        <v>30727.82</v>
      </c>
      <c r="BL49" s="855">
        <v>0</v>
      </c>
      <c r="BM49" s="855">
        <v>9218.34</v>
      </c>
      <c r="BN49" s="855">
        <v>7374.68</v>
      </c>
      <c r="BO49" s="855">
        <v>0</v>
      </c>
      <c r="BP49" s="855"/>
      <c r="BQ49" s="855">
        <v>0</v>
      </c>
      <c r="BR49" s="855"/>
      <c r="BS49" s="855">
        <v>0</v>
      </c>
      <c r="BT49" s="855">
        <v>0</v>
      </c>
      <c r="BU49" s="855">
        <v>0</v>
      </c>
      <c r="BV49" s="581">
        <f t="shared" si="26"/>
        <v>61455.639999999992</v>
      </c>
      <c r="BW49" s="582">
        <f t="shared" si="27"/>
        <v>1615.9456033699898</v>
      </c>
      <c r="BX49" s="583">
        <f t="shared" si="28"/>
        <v>2.8975724498408684E-2</v>
      </c>
    </row>
    <row r="50" spans="1:76" ht="15" hidden="1">
      <c r="A50" s="177"/>
      <c r="B50" s="564" t="s">
        <v>839</v>
      </c>
      <c r="C50" s="565" t="s">
        <v>840</v>
      </c>
      <c r="D50" s="566" t="s">
        <v>761</v>
      </c>
      <c r="E50" s="567">
        <v>46027</v>
      </c>
      <c r="F50" s="568">
        <v>3.47</v>
      </c>
      <c r="G50" s="568">
        <v>3.47</v>
      </c>
      <c r="H50" s="568">
        <v>26</v>
      </c>
      <c r="I50" s="569">
        <f>AG50-J50</f>
        <v>1769.56</v>
      </c>
      <c r="J50" s="570">
        <f>SUM(F50+G50)*H50</f>
        <v>180.44</v>
      </c>
      <c r="K50" s="571">
        <f t="shared" ref="K50" si="56">J50*$K$22</f>
        <v>135.32999999999998</v>
      </c>
      <c r="L50" s="571">
        <f t="shared" ref="L50" si="57">J50*$L$22</f>
        <v>45.11</v>
      </c>
      <c r="M50" s="568">
        <v>8810</v>
      </c>
      <c r="N50" s="568">
        <v>0.1716</v>
      </c>
      <c r="O50" s="602"/>
      <c r="P50" s="568"/>
      <c r="Q50" s="572">
        <f>W50*1.03+O50</f>
        <v>20.6</v>
      </c>
      <c r="R50" s="572">
        <f t="shared" ref="R50" si="58">Q50*1.03</f>
        <v>21.218000000000004</v>
      </c>
      <c r="S50" s="573">
        <f>SUM(Q50*((AG50*0.75)-K50))</f>
        <v>27339.702000000005</v>
      </c>
      <c r="T50" s="573">
        <f>SUM(R50*((AG50*0.25)-L50))</f>
        <v>9386.6310200000007</v>
      </c>
      <c r="U50" s="574">
        <f>S50+T50</f>
        <v>36726.333020000005</v>
      </c>
      <c r="V50" s="575">
        <f>Q50*(AG50*0.75)+R50*(AG50*0.25)</f>
        <v>40471.275000000009</v>
      </c>
      <c r="W50" s="744">
        <v>20</v>
      </c>
      <c r="X50" s="576">
        <v>1</v>
      </c>
      <c r="Y50" s="566"/>
      <c r="Z50" s="570"/>
      <c r="AA50" s="534"/>
      <c r="AB50" s="534"/>
      <c r="AD50" s="577" t="str">
        <f t="shared" ref="AD50:AE52" si="59">B50</f>
        <v>Garver</v>
      </c>
      <c r="AE50" s="577" t="str">
        <f t="shared" si="59"/>
        <v>Kristen</v>
      </c>
      <c r="AF50" s="578" t="s">
        <v>825</v>
      </c>
      <c r="AG50" s="579">
        <f t="shared" ref="AG50:AG52" si="60">1950*X50</f>
        <v>1950</v>
      </c>
      <c r="AH50" s="580">
        <v>0</v>
      </c>
      <c r="AI50" s="580">
        <f t="shared" ref="AI50" si="61">SUM(AK50:BU50)-AJ50</f>
        <v>38749.898019999993</v>
      </c>
      <c r="AJ50" s="580">
        <f t="shared" ref="AJ50" si="62">(Q50*K50)+(R50*L50)</f>
        <v>3744.9419800000001</v>
      </c>
      <c r="AK50" s="855">
        <v>0</v>
      </c>
      <c r="AL50" s="855">
        <v>0</v>
      </c>
      <c r="AM50" s="855">
        <v>24647.01</v>
      </c>
      <c r="AN50" s="855">
        <v>0</v>
      </c>
      <c r="AO50" s="855">
        <v>0</v>
      </c>
      <c r="AP50" s="855">
        <v>0</v>
      </c>
      <c r="AQ50" s="855">
        <v>0</v>
      </c>
      <c r="AR50" s="855">
        <v>0</v>
      </c>
      <c r="AS50" s="855">
        <v>0</v>
      </c>
      <c r="AT50" s="855">
        <v>0</v>
      </c>
      <c r="AU50" s="855">
        <v>0</v>
      </c>
      <c r="AV50" s="855">
        <v>0</v>
      </c>
      <c r="AW50" s="855">
        <v>0</v>
      </c>
      <c r="AX50" s="855">
        <v>0</v>
      </c>
      <c r="AY50" s="855">
        <v>0</v>
      </c>
      <c r="AZ50" s="855">
        <v>0</v>
      </c>
      <c r="BA50" s="855">
        <v>0</v>
      </c>
      <c r="BB50" s="855">
        <v>0</v>
      </c>
      <c r="BC50" s="855">
        <v>0</v>
      </c>
      <c r="BD50" s="855">
        <v>0</v>
      </c>
      <c r="BE50" s="855">
        <v>0</v>
      </c>
      <c r="BF50" s="855">
        <v>0</v>
      </c>
      <c r="BG50" s="855">
        <v>0</v>
      </c>
      <c r="BH50" s="855">
        <v>0</v>
      </c>
      <c r="BI50" s="855">
        <v>0</v>
      </c>
      <c r="BJ50" s="855">
        <v>17847.830000000002</v>
      </c>
      <c r="BK50" s="855">
        <v>0</v>
      </c>
      <c r="BL50" s="855">
        <v>0</v>
      </c>
      <c r="BM50" s="855">
        <v>0</v>
      </c>
      <c r="BN50" s="855">
        <v>0</v>
      </c>
      <c r="BO50" s="855">
        <v>0</v>
      </c>
      <c r="BP50" s="855"/>
      <c r="BQ50" s="855">
        <v>0</v>
      </c>
      <c r="BR50" s="855"/>
      <c r="BS50" s="855">
        <v>0</v>
      </c>
      <c r="BT50" s="855">
        <v>0</v>
      </c>
      <c r="BU50" s="855">
        <v>0</v>
      </c>
      <c r="BV50" s="581">
        <f t="shared" si="26"/>
        <v>42494.84</v>
      </c>
      <c r="BW50" s="582">
        <f t="shared" si="27"/>
        <v>38749.898019999993</v>
      </c>
      <c r="BX50" s="583">
        <f t="shared" si="28"/>
        <v>1</v>
      </c>
    </row>
    <row r="51" spans="1:76" ht="15" hidden="1">
      <c r="A51" s="177"/>
      <c r="B51" s="564" t="s">
        <v>841</v>
      </c>
      <c r="C51" s="565" t="s">
        <v>842</v>
      </c>
      <c r="D51" s="566" t="s">
        <v>761</v>
      </c>
      <c r="E51" s="567"/>
      <c r="F51" s="568">
        <v>3.47</v>
      </c>
      <c r="G51" s="568">
        <v>3.47</v>
      </c>
      <c r="H51" s="568">
        <v>26</v>
      </c>
      <c r="I51" s="569">
        <f>AG51-J51</f>
        <v>1769.56</v>
      </c>
      <c r="J51" s="570">
        <f>SUM(F51+G51)*H51</f>
        <v>180.44</v>
      </c>
      <c r="K51" s="571">
        <f t="shared" ref="K51" si="63">J51*$K$22</f>
        <v>135.32999999999998</v>
      </c>
      <c r="L51" s="571">
        <f t="shared" ref="L51" si="64">J51*$L$22</f>
        <v>45.11</v>
      </c>
      <c r="M51" s="568">
        <v>8810</v>
      </c>
      <c r="N51" s="568">
        <v>0.1716</v>
      </c>
      <c r="O51" s="602"/>
      <c r="P51" s="568"/>
      <c r="Q51" s="572">
        <f>W51+O51</f>
        <v>39.229999999999997</v>
      </c>
      <c r="R51" s="572">
        <f t="shared" ref="R51" si="65">Q51*1.03</f>
        <v>40.4069</v>
      </c>
      <c r="S51" s="573">
        <f>SUM(Q51*((AG51*0.75)-K51))</f>
        <v>52064.879099999998</v>
      </c>
      <c r="T51" s="573">
        <f>SUM(R51*((AG51*0.25)-L51))</f>
        <v>17875.608490999999</v>
      </c>
      <c r="U51" s="574">
        <f>S51+T51</f>
        <v>69940.487590999997</v>
      </c>
      <c r="V51" s="575">
        <f>Q51*(AG51*0.75)+R51*(AG51*0.25)</f>
        <v>77072.23874999999</v>
      </c>
      <c r="W51" s="744">
        <v>39.229999999999997</v>
      </c>
      <c r="X51" s="576">
        <v>1</v>
      </c>
      <c r="Y51" s="566"/>
      <c r="Z51" s="570"/>
      <c r="AA51" s="534"/>
      <c r="AB51" s="534"/>
      <c r="AD51" s="577" t="str">
        <f t="shared" si="59"/>
        <v>Giambrone</v>
      </c>
      <c r="AE51" s="578" t="str">
        <f t="shared" si="59"/>
        <v>Victoria</v>
      </c>
      <c r="AF51" s="578" t="s">
        <v>843</v>
      </c>
      <c r="AG51" s="579">
        <f t="shared" si="60"/>
        <v>1950</v>
      </c>
      <c r="AH51" s="580">
        <v>0</v>
      </c>
      <c r="AI51" s="580">
        <f t="shared" ref="AI51" si="66">SUM(AK51:BU51)-AJ51</f>
        <v>69940.488841000013</v>
      </c>
      <c r="AJ51" s="580">
        <f t="shared" ref="AJ51" si="67">(Q51*K51)+(R51*L51)</f>
        <v>7131.7511589999995</v>
      </c>
      <c r="AK51" s="855">
        <v>0</v>
      </c>
      <c r="AL51" s="855">
        <v>77072.240000000005</v>
      </c>
      <c r="AM51" s="855">
        <v>0</v>
      </c>
      <c r="AN51" s="855">
        <v>0</v>
      </c>
      <c r="AO51" s="855">
        <v>0</v>
      </c>
      <c r="AP51" s="855">
        <v>0</v>
      </c>
      <c r="AQ51" s="855">
        <v>0</v>
      </c>
      <c r="AR51" s="855">
        <v>0</v>
      </c>
      <c r="AS51" s="855">
        <v>0</v>
      </c>
      <c r="AT51" s="855">
        <v>0</v>
      </c>
      <c r="AU51" s="855">
        <v>0</v>
      </c>
      <c r="AV51" s="855">
        <v>0</v>
      </c>
      <c r="AW51" s="855">
        <v>0</v>
      </c>
      <c r="AX51" s="855">
        <v>0</v>
      </c>
      <c r="AY51" s="855">
        <v>0</v>
      </c>
      <c r="AZ51" s="855">
        <v>0</v>
      </c>
      <c r="BA51" s="855">
        <v>0</v>
      </c>
      <c r="BB51" s="855">
        <v>0</v>
      </c>
      <c r="BC51" s="855">
        <v>0</v>
      </c>
      <c r="BD51" s="855">
        <v>0</v>
      </c>
      <c r="BE51" s="855">
        <v>0</v>
      </c>
      <c r="BF51" s="855">
        <v>0</v>
      </c>
      <c r="BG51" s="855">
        <v>0</v>
      </c>
      <c r="BH51" s="855">
        <v>0</v>
      </c>
      <c r="BI51" s="855">
        <v>0</v>
      </c>
      <c r="BJ51" s="855">
        <v>0</v>
      </c>
      <c r="BK51" s="855">
        <v>0</v>
      </c>
      <c r="BL51" s="855">
        <v>0</v>
      </c>
      <c r="BM51" s="855">
        <v>0</v>
      </c>
      <c r="BN51" s="855">
        <v>0</v>
      </c>
      <c r="BO51" s="855">
        <v>0</v>
      </c>
      <c r="BP51" s="855"/>
      <c r="BQ51" s="855">
        <v>0</v>
      </c>
      <c r="BR51" s="855"/>
      <c r="BS51" s="855">
        <v>0</v>
      </c>
      <c r="BT51" s="855">
        <v>0</v>
      </c>
      <c r="BU51" s="855">
        <v>0</v>
      </c>
      <c r="BV51" s="581">
        <f t="shared" si="26"/>
        <v>77072.240000000005</v>
      </c>
      <c r="BW51" s="582">
        <f t="shared" si="27"/>
        <v>69940.488841000013</v>
      </c>
      <c r="BX51" s="583">
        <f t="shared" si="28"/>
        <v>1</v>
      </c>
    </row>
    <row r="52" spans="1:76" ht="15" hidden="1">
      <c r="A52" s="177"/>
      <c r="B52" s="564" t="s">
        <v>844</v>
      </c>
      <c r="C52" s="565" t="s">
        <v>845</v>
      </c>
      <c r="D52" s="566" t="s">
        <v>761</v>
      </c>
      <c r="E52" s="567">
        <v>46111</v>
      </c>
      <c r="F52" s="568">
        <v>3.47</v>
      </c>
      <c r="G52" s="568">
        <v>3.47</v>
      </c>
      <c r="H52" s="568">
        <v>26</v>
      </c>
      <c r="I52" s="569">
        <f>AG52-J52</f>
        <v>1769.56</v>
      </c>
      <c r="J52" s="570">
        <f>SUM(F52+G52)*H52</f>
        <v>180.44</v>
      </c>
      <c r="K52" s="571">
        <f t="shared" ref="K52" si="68">J52*$K$22</f>
        <v>135.32999999999998</v>
      </c>
      <c r="L52" s="571">
        <f t="shared" ref="L52" si="69">J52*$L$22</f>
        <v>45.11</v>
      </c>
      <c r="M52" s="568">
        <v>8810</v>
      </c>
      <c r="N52" s="568">
        <v>0.1716</v>
      </c>
      <c r="O52" s="602"/>
      <c r="P52" s="568"/>
      <c r="Q52" s="572">
        <f>W52*1.03+O52</f>
        <v>20.6</v>
      </c>
      <c r="R52" s="572">
        <f t="shared" ref="R52" si="70">Q52*1.03</f>
        <v>21.218000000000004</v>
      </c>
      <c r="S52" s="573">
        <f>SUM(Q52*((AG52*0.75)-K52))</f>
        <v>27339.702000000005</v>
      </c>
      <c r="T52" s="573">
        <f>SUM(R52*((AG52*0.25)-L52))</f>
        <v>9386.6310200000007</v>
      </c>
      <c r="U52" s="574">
        <f>S52+T52</f>
        <v>36726.333020000005</v>
      </c>
      <c r="V52" s="575">
        <f>Q52*(AG52*0.75)+R52*(AG52*0.25)</f>
        <v>40471.275000000009</v>
      </c>
      <c r="W52" s="744">
        <v>20</v>
      </c>
      <c r="X52" s="576">
        <v>1</v>
      </c>
      <c r="Y52" s="566"/>
      <c r="Z52" s="570"/>
      <c r="AA52" s="534"/>
      <c r="AB52" s="534"/>
      <c r="AD52" s="577" t="str">
        <f t="shared" si="59"/>
        <v>Gonzalez</v>
      </c>
      <c r="AE52" s="578" t="str">
        <f t="shared" si="59"/>
        <v>Joel</v>
      </c>
      <c r="AF52" s="578" t="s">
        <v>825</v>
      </c>
      <c r="AG52" s="579">
        <f t="shared" si="60"/>
        <v>1950</v>
      </c>
      <c r="AH52" s="580">
        <v>0</v>
      </c>
      <c r="AI52" s="580">
        <f t="shared" ref="AI52" si="71">SUM(AK52:BU52)-AJ52</f>
        <v>38749.898019999993</v>
      </c>
      <c r="AJ52" s="580">
        <f t="shared" ref="AJ52" si="72">(Q52*K52)+(R52*L52)</f>
        <v>3744.9419800000001</v>
      </c>
      <c r="AK52" s="855">
        <v>0</v>
      </c>
      <c r="AL52" s="855">
        <v>0</v>
      </c>
      <c r="AM52" s="855">
        <v>31871.13</v>
      </c>
      <c r="AN52" s="855">
        <v>0</v>
      </c>
      <c r="AO52" s="855">
        <v>0</v>
      </c>
      <c r="AP52" s="855">
        <v>0</v>
      </c>
      <c r="AQ52" s="855">
        <v>0</v>
      </c>
      <c r="AR52" s="855">
        <v>0</v>
      </c>
      <c r="AS52" s="855">
        <v>0</v>
      </c>
      <c r="AT52" s="855">
        <v>0</v>
      </c>
      <c r="AU52" s="855">
        <v>0</v>
      </c>
      <c r="AV52" s="855">
        <v>0</v>
      </c>
      <c r="AW52" s="855">
        <v>0</v>
      </c>
      <c r="AX52" s="855">
        <v>0</v>
      </c>
      <c r="AY52" s="855">
        <v>0</v>
      </c>
      <c r="AZ52" s="855">
        <v>0</v>
      </c>
      <c r="BA52" s="855">
        <v>0</v>
      </c>
      <c r="BB52" s="855">
        <v>0</v>
      </c>
      <c r="BC52" s="855">
        <v>0</v>
      </c>
      <c r="BD52" s="855">
        <v>0</v>
      </c>
      <c r="BE52" s="855">
        <v>0</v>
      </c>
      <c r="BF52" s="855">
        <v>0</v>
      </c>
      <c r="BG52" s="855">
        <v>0</v>
      </c>
      <c r="BH52" s="855">
        <v>0</v>
      </c>
      <c r="BI52" s="855">
        <v>0</v>
      </c>
      <c r="BJ52" s="855">
        <v>10623.71</v>
      </c>
      <c r="BK52" s="855">
        <v>0</v>
      </c>
      <c r="BL52" s="855">
        <v>0</v>
      </c>
      <c r="BM52" s="855">
        <v>0</v>
      </c>
      <c r="BN52" s="855">
        <v>0</v>
      </c>
      <c r="BO52" s="855">
        <v>0</v>
      </c>
      <c r="BP52" s="855"/>
      <c r="BQ52" s="855">
        <v>0</v>
      </c>
      <c r="BR52" s="855"/>
      <c r="BS52" s="855">
        <v>0</v>
      </c>
      <c r="BT52" s="855">
        <v>0</v>
      </c>
      <c r="BU52" s="855">
        <v>0</v>
      </c>
      <c r="BV52" s="581">
        <f t="shared" si="26"/>
        <v>42494.84</v>
      </c>
      <c r="BW52" s="582">
        <f t="shared" si="27"/>
        <v>38749.898019999993</v>
      </c>
      <c r="BX52" s="583">
        <f t="shared" si="28"/>
        <v>1</v>
      </c>
    </row>
    <row r="53" spans="1:76" ht="15" hidden="1">
      <c r="A53" s="591">
        <v>255</v>
      </c>
      <c r="B53" s="564" t="s">
        <v>846</v>
      </c>
      <c r="C53" s="565" t="s">
        <v>842</v>
      </c>
      <c r="D53" s="597" t="s">
        <v>761</v>
      </c>
      <c r="E53" s="598">
        <v>45145</v>
      </c>
      <c r="F53" s="568"/>
      <c r="G53" s="568"/>
      <c r="H53" s="568"/>
      <c r="I53" s="569"/>
      <c r="J53" s="570"/>
      <c r="K53" s="571"/>
      <c r="L53" s="571"/>
      <c r="M53" s="597"/>
      <c r="N53" s="568"/>
      <c r="O53" s="602"/>
      <c r="P53" s="568"/>
      <c r="Q53" s="572"/>
      <c r="R53" s="572"/>
      <c r="S53" s="573"/>
      <c r="T53" s="573"/>
      <c r="U53" s="574"/>
      <c r="V53" s="575"/>
      <c r="W53" s="744"/>
      <c r="X53" s="576"/>
      <c r="Y53" s="597"/>
      <c r="Z53" s="570"/>
      <c r="AA53" s="534" t="s">
        <v>846</v>
      </c>
      <c r="AB53" s="534" t="s">
        <v>842</v>
      </c>
      <c r="AD53" s="577" t="str">
        <f t="shared" si="48"/>
        <v>Graci</v>
      </c>
      <c r="AE53" s="578" t="str">
        <f t="shared" si="48"/>
        <v>Victoria</v>
      </c>
      <c r="AF53" s="578" t="s">
        <v>847</v>
      </c>
      <c r="AG53" s="579">
        <f>1950*X53</f>
        <v>0</v>
      </c>
      <c r="AH53" s="580">
        <v>38195</v>
      </c>
      <c r="AI53" s="580">
        <f t="shared" si="40"/>
        <v>0</v>
      </c>
      <c r="AJ53" s="580">
        <f t="shared" si="8"/>
        <v>0</v>
      </c>
      <c r="AK53" s="855">
        <v>0</v>
      </c>
      <c r="AL53" s="855">
        <v>0</v>
      </c>
      <c r="AM53" s="855">
        <v>0</v>
      </c>
      <c r="AN53" s="855">
        <v>0</v>
      </c>
      <c r="AO53" s="855">
        <v>0</v>
      </c>
      <c r="AP53" s="855">
        <v>0</v>
      </c>
      <c r="AQ53" s="855">
        <v>0</v>
      </c>
      <c r="AR53" s="855">
        <v>0</v>
      </c>
      <c r="AS53" s="855">
        <v>0</v>
      </c>
      <c r="AT53" s="855">
        <v>0</v>
      </c>
      <c r="AU53" s="855">
        <v>0</v>
      </c>
      <c r="AV53" s="855">
        <v>0</v>
      </c>
      <c r="AW53" s="855">
        <v>0</v>
      </c>
      <c r="AX53" s="855">
        <v>0</v>
      </c>
      <c r="AY53" s="855">
        <v>0</v>
      </c>
      <c r="AZ53" s="855">
        <v>0</v>
      </c>
      <c r="BA53" s="855">
        <v>0</v>
      </c>
      <c r="BB53" s="855">
        <v>0</v>
      </c>
      <c r="BC53" s="855">
        <v>0</v>
      </c>
      <c r="BD53" s="855">
        <v>0</v>
      </c>
      <c r="BE53" s="855">
        <v>0</v>
      </c>
      <c r="BF53" s="855">
        <v>0</v>
      </c>
      <c r="BG53" s="855">
        <v>0</v>
      </c>
      <c r="BH53" s="855">
        <v>0</v>
      </c>
      <c r="BI53" s="855">
        <v>0</v>
      </c>
      <c r="BJ53" s="855">
        <v>0</v>
      </c>
      <c r="BK53" s="855">
        <v>0</v>
      </c>
      <c r="BL53" s="855">
        <v>0</v>
      </c>
      <c r="BM53" s="855">
        <v>0</v>
      </c>
      <c r="BN53" s="855">
        <v>0</v>
      </c>
      <c r="BO53" s="855">
        <v>0</v>
      </c>
      <c r="BP53" s="855"/>
      <c r="BQ53" s="855">
        <v>0</v>
      </c>
      <c r="BR53" s="855"/>
      <c r="BS53" s="855">
        <v>0</v>
      </c>
      <c r="BT53" s="855">
        <v>0</v>
      </c>
      <c r="BU53" s="855">
        <v>0</v>
      </c>
      <c r="BV53" s="581">
        <f t="shared" si="26"/>
        <v>0</v>
      </c>
      <c r="BW53" s="582">
        <f t="shared" si="27"/>
        <v>-38195</v>
      </c>
      <c r="BX53" s="583" t="e">
        <f t="shared" si="28"/>
        <v>#DIV/0!</v>
      </c>
    </row>
    <row r="54" spans="1:76" ht="15" hidden="1">
      <c r="A54" s="177">
        <v>173</v>
      </c>
      <c r="B54" s="564" t="s">
        <v>848</v>
      </c>
      <c r="C54" s="565" t="s">
        <v>849</v>
      </c>
      <c r="D54" s="566" t="s">
        <v>761</v>
      </c>
      <c r="E54" s="567">
        <v>43745</v>
      </c>
      <c r="F54" s="568">
        <v>5.19</v>
      </c>
      <c r="G54" s="568">
        <v>3.47</v>
      </c>
      <c r="H54" s="568">
        <v>26</v>
      </c>
      <c r="I54" s="569">
        <f t="shared" ref="I54:I60" si="73">AG54-J54</f>
        <v>1724.84</v>
      </c>
      <c r="J54" s="570">
        <f t="shared" ref="J54:J60" si="74">SUM(F54+G54)*H54</f>
        <v>225.16</v>
      </c>
      <c r="K54" s="571">
        <f t="shared" si="10"/>
        <v>168.87</v>
      </c>
      <c r="L54" s="571">
        <f t="shared" si="11"/>
        <v>56.29</v>
      </c>
      <c r="M54" s="568">
        <v>8810</v>
      </c>
      <c r="N54" s="568">
        <v>0.1716</v>
      </c>
      <c r="O54" s="602">
        <v>1</v>
      </c>
      <c r="P54" s="568"/>
      <c r="Q54" s="572">
        <f>(W54+O54)*1.03</f>
        <v>25.811799999999998</v>
      </c>
      <c r="R54" s="572">
        <f>Q54*1.03</f>
        <v>26.586153999999997</v>
      </c>
      <c r="S54" s="573">
        <f t="shared" ref="S54:S60" si="75">SUM(Q54*((AG54*0.75)-K54))</f>
        <v>33390.918834000004</v>
      </c>
      <c r="T54" s="573">
        <f t="shared" ref="T54:T60" si="76">SUM(R54*((AG54*0.25)-L54))</f>
        <v>11464.215466339998</v>
      </c>
      <c r="U54" s="574">
        <f>S54+T54</f>
        <v>44855.134300340003</v>
      </c>
      <c r="V54" s="575">
        <f t="shared" ref="V54:V60" si="77">Q54*(AG54*0.75)+R54*(AG54*0.25)</f>
        <v>50710.507574999996</v>
      </c>
      <c r="W54" s="744">
        <v>24.06</v>
      </c>
      <c r="X54" s="576">
        <v>1</v>
      </c>
      <c r="Y54" s="566">
        <v>1039</v>
      </c>
      <c r="Z54" s="570">
        <f t="shared" si="54"/>
        <v>173</v>
      </c>
      <c r="AA54" s="534" t="str">
        <f t="shared" si="54"/>
        <v>Guerra</v>
      </c>
      <c r="AB54" s="534" t="str">
        <f t="shared" si="54"/>
        <v>Luz</v>
      </c>
      <c r="AD54" s="577" t="str">
        <f t="shared" si="48"/>
        <v>Guerra</v>
      </c>
      <c r="AE54" s="578" t="str">
        <f t="shared" si="48"/>
        <v>Luz</v>
      </c>
      <c r="AF54" s="578" t="s">
        <v>847</v>
      </c>
      <c r="AG54" s="579">
        <f t="shared" ref="AG54:AG60" si="78">1950*X54</f>
        <v>1950</v>
      </c>
      <c r="AH54" s="580">
        <v>41812</v>
      </c>
      <c r="AI54" s="580">
        <f t="shared" si="40"/>
        <v>44855.136725340002</v>
      </c>
      <c r="AJ54" s="580">
        <f t="shared" si="8"/>
        <v>5855.3732746599999</v>
      </c>
      <c r="AK54" s="855">
        <v>0</v>
      </c>
      <c r="AL54" s="855">
        <v>0</v>
      </c>
      <c r="AM54" s="855">
        <v>0</v>
      </c>
      <c r="AN54" s="855">
        <v>0</v>
      </c>
      <c r="AO54" s="855">
        <v>0</v>
      </c>
      <c r="AP54" s="855">
        <v>0</v>
      </c>
      <c r="AQ54" s="855">
        <v>0</v>
      </c>
      <c r="AR54" s="855">
        <v>0</v>
      </c>
      <c r="AS54" s="855">
        <v>0</v>
      </c>
      <c r="AT54" s="855">
        <v>0</v>
      </c>
      <c r="AU54" s="855">
        <v>0</v>
      </c>
      <c r="AV54" s="855">
        <v>0</v>
      </c>
      <c r="AW54" s="855">
        <v>0</v>
      </c>
      <c r="AX54" s="855">
        <v>0</v>
      </c>
      <c r="AY54" s="855">
        <v>0</v>
      </c>
      <c r="AZ54" s="855">
        <v>0</v>
      </c>
      <c r="BA54" s="855">
        <v>0</v>
      </c>
      <c r="BB54" s="855">
        <v>0</v>
      </c>
      <c r="BC54" s="855">
        <v>0</v>
      </c>
      <c r="BD54" s="855">
        <v>0</v>
      </c>
      <c r="BE54" s="855">
        <v>0</v>
      </c>
      <c r="BF54" s="855">
        <v>0</v>
      </c>
      <c r="BG54" s="855">
        <v>0</v>
      </c>
      <c r="BH54" s="855">
        <v>0</v>
      </c>
      <c r="BI54" s="855">
        <v>0</v>
      </c>
      <c r="BJ54" s="855">
        <v>0</v>
      </c>
      <c r="BK54" s="855">
        <v>0</v>
      </c>
      <c r="BL54" s="855">
        <v>0</v>
      </c>
      <c r="BM54" s="855">
        <v>0</v>
      </c>
      <c r="BN54" s="855">
        <v>0</v>
      </c>
      <c r="BO54" s="855">
        <v>0</v>
      </c>
      <c r="BP54" s="855"/>
      <c r="BQ54" s="855">
        <v>0</v>
      </c>
      <c r="BR54" s="855">
        <v>50710.51</v>
      </c>
      <c r="BS54" s="855">
        <v>0</v>
      </c>
      <c r="BT54" s="855">
        <v>0</v>
      </c>
      <c r="BU54" s="855">
        <v>0</v>
      </c>
      <c r="BV54" s="581">
        <f t="shared" si="26"/>
        <v>50710.51</v>
      </c>
      <c r="BW54" s="582">
        <f t="shared" si="27"/>
        <v>3043.1367253400022</v>
      </c>
      <c r="BX54" s="583">
        <f t="shared" si="28"/>
        <v>6.7843661785581877E-2</v>
      </c>
    </row>
    <row r="55" spans="1:76" ht="15" hidden="1">
      <c r="A55" s="591"/>
      <c r="B55" s="585" t="s">
        <v>850</v>
      </c>
      <c r="C55" s="586" t="s">
        <v>851</v>
      </c>
      <c r="D55" s="566" t="s">
        <v>769</v>
      </c>
      <c r="E55" s="567">
        <v>45518</v>
      </c>
      <c r="F55" s="568">
        <v>3.47</v>
      </c>
      <c r="G55" s="568">
        <v>3.47</v>
      </c>
      <c r="H55" s="568">
        <v>26</v>
      </c>
      <c r="I55" s="569">
        <f t="shared" si="73"/>
        <v>1769.56</v>
      </c>
      <c r="J55" s="570">
        <f t="shared" si="74"/>
        <v>180.44</v>
      </c>
      <c r="K55" s="571">
        <f t="shared" si="10"/>
        <v>135.32999999999998</v>
      </c>
      <c r="L55" s="571">
        <f t="shared" si="11"/>
        <v>45.11</v>
      </c>
      <c r="M55" s="568">
        <v>8810</v>
      </c>
      <c r="N55" s="568">
        <v>0.1716</v>
      </c>
      <c r="O55" s="602"/>
      <c r="P55" s="568"/>
      <c r="Q55" s="572">
        <f>W55*1.03+O55</f>
        <v>22.2789</v>
      </c>
      <c r="R55" s="572">
        <f t="shared" si="55"/>
        <v>22.947267</v>
      </c>
      <c r="S55" s="573">
        <f t="shared" si="75"/>
        <v>29567.887713</v>
      </c>
      <c r="T55" s="573">
        <f t="shared" si="76"/>
        <v>10151.64144813</v>
      </c>
      <c r="U55" s="574">
        <f t="shared" ref="U55:U60" si="79">S55+T55</f>
        <v>39719.529161129998</v>
      </c>
      <c r="V55" s="575">
        <f t="shared" si="77"/>
        <v>43769.683912499997</v>
      </c>
      <c r="W55" s="744">
        <v>21.63</v>
      </c>
      <c r="X55" s="576">
        <v>1</v>
      </c>
      <c r="Y55" s="566">
        <v>1010</v>
      </c>
      <c r="Z55" s="570">
        <f t="shared" si="54"/>
        <v>0</v>
      </c>
      <c r="AA55" s="534" t="str">
        <f>AD55</f>
        <v>Hade</v>
      </c>
      <c r="AB55" s="534" t="str">
        <f>AE55</f>
        <v xml:space="preserve">Iliana </v>
      </c>
      <c r="AD55" s="577" t="s">
        <v>850</v>
      </c>
      <c r="AE55" s="578" t="s">
        <v>851</v>
      </c>
      <c r="AF55" s="578" t="s">
        <v>852</v>
      </c>
      <c r="AG55" s="579">
        <f t="shared" si="78"/>
        <v>1950</v>
      </c>
      <c r="AH55" s="580">
        <v>38568</v>
      </c>
      <c r="AI55" s="580">
        <f t="shared" si="40"/>
        <v>41743.095248630001</v>
      </c>
      <c r="AJ55" s="580">
        <f t="shared" si="8"/>
        <v>4050.1547513699998</v>
      </c>
      <c r="AK55" s="855">
        <v>0</v>
      </c>
      <c r="AL55" s="855">
        <v>0</v>
      </c>
      <c r="AM55" s="855">
        <v>0</v>
      </c>
      <c r="AN55" s="855">
        <v>0</v>
      </c>
      <c r="AO55" s="855">
        <v>0</v>
      </c>
      <c r="AP55" s="855">
        <v>0</v>
      </c>
      <c r="AQ55" s="855">
        <v>0</v>
      </c>
      <c r="AR55" s="855">
        <v>0</v>
      </c>
      <c r="AS55" s="855">
        <v>0</v>
      </c>
      <c r="AT55" s="855">
        <v>0</v>
      </c>
      <c r="AU55" s="855">
        <v>0</v>
      </c>
      <c r="AV55" s="855">
        <v>0</v>
      </c>
      <c r="AW55" s="855">
        <v>0</v>
      </c>
      <c r="AX55" s="855">
        <v>0</v>
      </c>
      <c r="AY55" s="855">
        <v>0</v>
      </c>
      <c r="AZ55" s="855">
        <v>0</v>
      </c>
      <c r="BA55" s="855">
        <v>0</v>
      </c>
      <c r="BB55" s="855">
        <v>0</v>
      </c>
      <c r="BC55" s="855">
        <v>0</v>
      </c>
      <c r="BD55" s="855">
        <v>0</v>
      </c>
      <c r="BE55" s="855">
        <v>0</v>
      </c>
      <c r="BF55" s="855">
        <v>0</v>
      </c>
      <c r="BG55" s="855">
        <v>0</v>
      </c>
      <c r="BH55" s="855">
        <v>0</v>
      </c>
      <c r="BI55" s="855">
        <v>0</v>
      </c>
      <c r="BJ55" s="855">
        <v>0</v>
      </c>
      <c r="BK55" s="855">
        <v>34802.870000000003</v>
      </c>
      <c r="BL55" s="855">
        <v>0</v>
      </c>
      <c r="BM55" s="855">
        <v>10990.38</v>
      </c>
      <c r="BN55" s="855">
        <v>0</v>
      </c>
      <c r="BO55" s="855">
        <v>0</v>
      </c>
      <c r="BP55" s="855"/>
      <c r="BQ55" s="855">
        <v>0</v>
      </c>
      <c r="BR55" s="855"/>
      <c r="BS55" s="855">
        <v>0</v>
      </c>
      <c r="BT55" s="855">
        <v>0</v>
      </c>
      <c r="BU55" s="855">
        <v>0</v>
      </c>
      <c r="BV55" s="581">
        <f t="shared" si="26"/>
        <v>45793.25</v>
      </c>
      <c r="BW55" s="582">
        <f t="shared" si="27"/>
        <v>3175.0952486300012</v>
      </c>
      <c r="BX55" s="583">
        <f t="shared" si="28"/>
        <v>7.6062765104468522E-2</v>
      </c>
    </row>
    <row r="56" spans="1:76" ht="15" hidden="1">
      <c r="A56" s="177">
        <v>194</v>
      </c>
      <c r="B56" s="564" t="s">
        <v>853</v>
      </c>
      <c r="C56" s="565" t="s">
        <v>854</v>
      </c>
      <c r="D56" s="566" t="s">
        <v>855</v>
      </c>
      <c r="E56" s="567">
        <v>44361</v>
      </c>
      <c r="F56" s="568">
        <v>5.19</v>
      </c>
      <c r="G56" s="568">
        <v>3.47</v>
      </c>
      <c r="H56" s="568">
        <v>26</v>
      </c>
      <c r="I56" s="569">
        <f t="shared" si="73"/>
        <v>1724.84</v>
      </c>
      <c r="J56" s="570">
        <f t="shared" si="74"/>
        <v>225.16</v>
      </c>
      <c r="K56" s="571">
        <f t="shared" si="10"/>
        <v>168.87</v>
      </c>
      <c r="L56" s="571">
        <f t="shared" si="11"/>
        <v>56.29</v>
      </c>
      <c r="M56" s="568">
        <v>8810</v>
      </c>
      <c r="N56" s="568">
        <v>0.1716</v>
      </c>
      <c r="O56" s="602"/>
      <c r="P56" s="568"/>
      <c r="Q56" s="572">
        <f>W56*1.03</f>
        <v>33.093900000000005</v>
      </c>
      <c r="R56" s="572">
        <f t="shared" si="55"/>
        <v>34.086717000000007</v>
      </c>
      <c r="S56" s="573">
        <f t="shared" si="75"/>
        <v>42811.261857000012</v>
      </c>
      <c r="T56" s="573">
        <f t="shared" si="76"/>
        <v>14698.533237570002</v>
      </c>
      <c r="U56" s="574">
        <f t="shared" si="79"/>
        <v>57509.795094570014</v>
      </c>
      <c r="V56" s="575">
        <f t="shared" si="77"/>
        <v>65017.103287500009</v>
      </c>
      <c r="W56" s="744">
        <v>32.130000000000003</v>
      </c>
      <c r="X56" s="576">
        <v>1</v>
      </c>
      <c r="Y56" s="566">
        <v>1005</v>
      </c>
      <c r="Z56" s="570">
        <f t="shared" si="54"/>
        <v>194</v>
      </c>
      <c r="AA56" s="534" t="str">
        <f t="shared" si="54"/>
        <v>Handa</v>
      </c>
      <c r="AB56" s="534" t="str">
        <f t="shared" si="54"/>
        <v>Parul</v>
      </c>
      <c r="AD56" s="577" t="str">
        <f t="shared" ref="AD56:AE71" si="80">AA56</f>
        <v>Handa</v>
      </c>
      <c r="AE56" s="578" t="str">
        <f t="shared" si="80"/>
        <v>Parul</v>
      </c>
      <c r="AF56" s="578" t="s">
        <v>770</v>
      </c>
      <c r="AG56" s="579">
        <f t="shared" si="78"/>
        <v>1950</v>
      </c>
      <c r="AH56" s="580">
        <v>57275</v>
      </c>
      <c r="AI56" s="580">
        <f t="shared" si="40"/>
        <v>57509.801807069998</v>
      </c>
      <c r="AJ56" s="580">
        <f t="shared" si="8"/>
        <v>7507.3081929300015</v>
      </c>
      <c r="AK56" s="855">
        <v>0</v>
      </c>
      <c r="AL56" s="855">
        <v>0</v>
      </c>
      <c r="AM56" s="855">
        <v>1950.51</v>
      </c>
      <c r="AN56" s="855">
        <v>0</v>
      </c>
      <c r="AO56" s="855">
        <v>16254.28</v>
      </c>
      <c r="AP56" s="855">
        <v>0</v>
      </c>
      <c r="AQ56" s="855">
        <v>0</v>
      </c>
      <c r="AR56" s="855">
        <v>0</v>
      </c>
      <c r="AS56" s="855">
        <v>0</v>
      </c>
      <c r="AT56" s="855">
        <v>0</v>
      </c>
      <c r="AU56" s="855">
        <v>0</v>
      </c>
      <c r="AV56" s="855">
        <v>0</v>
      </c>
      <c r="AW56" s="855">
        <v>0</v>
      </c>
      <c r="AX56" s="855">
        <v>0</v>
      </c>
      <c r="AY56" s="855">
        <v>0</v>
      </c>
      <c r="AZ56" s="855">
        <v>0</v>
      </c>
      <c r="BA56" s="855">
        <v>0</v>
      </c>
      <c r="BB56" s="855">
        <v>0</v>
      </c>
      <c r="BC56" s="855">
        <v>0</v>
      </c>
      <c r="BD56" s="855">
        <v>0</v>
      </c>
      <c r="BE56" s="855">
        <v>0</v>
      </c>
      <c r="BF56" s="855">
        <v>0</v>
      </c>
      <c r="BG56" s="855">
        <v>0</v>
      </c>
      <c r="BH56" s="855">
        <v>0</v>
      </c>
      <c r="BI56" s="855">
        <v>0</v>
      </c>
      <c r="BJ56" s="855">
        <v>0</v>
      </c>
      <c r="BK56" s="855">
        <v>0</v>
      </c>
      <c r="BL56" s="855">
        <v>19505.13</v>
      </c>
      <c r="BM56" s="855">
        <v>6501.71</v>
      </c>
      <c r="BN56" s="855">
        <v>0</v>
      </c>
      <c r="BO56" s="855">
        <v>4063.57</v>
      </c>
      <c r="BP56" s="855"/>
      <c r="BQ56" s="855">
        <v>0</v>
      </c>
      <c r="BR56" s="855"/>
      <c r="BS56" s="855">
        <v>0</v>
      </c>
      <c r="BT56" s="855">
        <v>0</v>
      </c>
      <c r="BU56" s="855">
        <f>3901.03+3088.31+3250.86+6501.71</f>
        <v>16741.91</v>
      </c>
      <c r="BV56" s="581">
        <f t="shared" si="26"/>
        <v>48275.199999999997</v>
      </c>
      <c r="BW56" s="582">
        <f t="shared" si="27"/>
        <v>234.80180706999818</v>
      </c>
      <c r="BX56" s="583">
        <f t="shared" si="28"/>
        <v>4.0828137063955161E-3</v>
      </c>
    </row>
    <row r="57" spans="1:76" ht="15" hidden="1">
      <c r="A57" s="591">
        <v>238</v>
      </c>
      <c r="B57" s="599" t="s">
        <v>856</v>
      </c>
      <c r="C57" s="600" t="s">
        <v>857</v>
      </c>
      <c r="D57" s="566" t="s">
        <v>761</v>
      </c>
      <c r="E57" s="567">
        <v>44984</v>
      </c>
      <c r="F57" s="568">
        <v>3.47</v>
      </c>
      <c r="G57" s="568">
        <v>3.47</v>
      </c>
      <c r="H57" s="568">
        <v>26</v>
      </c>
      <c r="I57" s="569">
        <f t="shared" si="73"/>
        <v>1769.56</v>
      </c>
      <c r="J57" s="570">
        <f t="shared" si="74"/>
        <v>180.44</v>
      </c>
      <c r="K57" s="571">
        <f t="shared" si="10"/>
        <v>135.32999999999998</v>
      </c>
      <c r="L57" s="571">
        <f t="shared" si="11"/>
        <v>45.11</v>
      </c>
      <c r="M57" s="533">
        <v>8810</v>
      </c>
      <c r="N57" s="568">
        <v>0.1716</v>
      </c>
      <c r="O57" s="602">
        <v>1</v>
      </c>
      <c r="P57" s="568"/>
      <c r="Q57" s="572">
        <f>(W57+O57)*1.03</f>
        <v>23.648800000000001</v>
      </c>
      <c r="R57" s="572">
        <f>Q57*1.03</f>
        <v>24.358264000000002</v>
      </c>
      <c r="S57" s="573">
        <f t="shared" si="75"/>
        <v>31385.977896000004</v>
      </c>
      <c r="T57" s="573">
        <f t="shared" si="76"/>
        <v>10775.85241096</v>
      </c>
      <c r="U57" s="574">
        <f>S57+T57</f>
        <v>42161.830306960008</v>
      </c>
      <c r="V57" s="575">
        <f t="shared" si="77"/>
        <v>46461.023700000005</v>
      </c>
      <c r="W57" s="744">
        <v>21.96</v>
      </c>
      <c r="X57" s="601">
        <v>1</v>
      </c>
      <c r="Y57" s="533">
        <v>1017</v>
      </c>
      <c r="Z57" s="570">
        <f t="shared" si="54"/>
        <v>238</v>
      </c>
      <c r="AA57" s="534" t="str">
        <f t="shared" si="54"/>
        <v>Hart</v>
      </c>
      <c r="AB57" s="534" t="str">
        <f t="shared" si="54"/>
        <v>Edward</v>
      </c>
      <c r="AD57" s="577" t="str">
        <f t="shared" si="80"/>
        <v>Hart</v>
      </c>
      <c r="AE57" s="578" t="str">
        <f t="shared" si="80"/>
        <v>Edward</v>
      </c>
      <c r="AF57" s="578" t="s">
        <v>825</v>
      </c>
      <c r="AG57" s="579">
        <f t="shared" si="78"/>
        <v>1950</v>
      </c>
      <c r="AH57" s="580">
        <v>39156</v>
      </c>
      <c r="AI57" s="580">
        <f t="shared" si="40"/>
        <v>42161.826606960007</v>
      </c>
      <c r="AJ57" s="580">
        <f t="shared" si="8"/>
        <v>4299.19339304</v>
      </c>
      <c r="AK57" s="855">
        <v>0</v>
      </c>
      <c r="AL57" s="855">
        <v>0</v>
      </c>
      <c r="AM57" s="855">
        <v>26947.39</v>
      </c>
      <c r="AN57" s="855">
        <v>0</v>
      </c>
      <c r="AO57" s="855">
        <v>0</v>
      </c>
      <c r="AP57" s="855">
        <v>0</v>
      </c>
      <c r="AQ57" s="855">
        <v>0</v>
      </c>
      <c r="AR57" s="855">
        <v>0</v>
      </c>
      <c r="AS57" s="855">
        <v>0</v>
      </c>
      <c r="AT57" s="855">
        <v>0</v>
      </c>
      <c r="AU57" s="855">
        <v>0</v>
      </c>
      <c r="AV57" s="855">
        <v>0</v>
      </c>
      <c r="AW57" s="855">
        <v>0</v>
      </c>
      <c r="AX57" s="855">
        <v>0</v>
      </c>
      <c r="AY57" s="855">
        <v>0</v>
      </c>
      <c r="AZ57" s="855">
        <v>0</v>
      </c>
      <c r="BA57" s="855">
        <v>0</v>
      </c>
      <c r="BB57" s="855">
        <v>0</v>
      </c>
      <c r="BC57" s="855">
        <v>0</v>
      </c>
      <c r="BD57" s="855">
        <v>0</v>
      </c>
      <c r="BE57" s="855">
        <v>0</v>
      </c>
      <c r="BF57" s="855">
        <v>0</v>
      </c>
      <c r="BG57" s="855">
        <v>0</v>
      </c>
      <c r="BH57" s="855">
        <v>0</v>
      </c>
      <c r="BI57" s="855">
        <v>0</v>
      </c>
      <c r="BJ57" s="855">
        <v>19513.63</v>
      </c>
      <c r="BK57" s="855">
        <v>0</v>
      </c>
      <c r="BL57" s="855">
        <v>0</v>
      </c>
      <c r="BM57" s="855">
        <v>0</v>
      </c>
      <c r="BN57" s="855">
        <v>0</v>
      </c>
      <c r="BO57" s="855">
        <v>0</v>
      </c>
      <c r="BP57" s="855"/>
      <c r="BQ57" s="855">
        <v>0</v>
      </c>
      <c r="BR57" s="855"/>
      <c r="BS57" s="855">
        <v>0</v>
      </c>
      <c r="BT57" s="855">
        <v>0</v>
      </c>
      <c r="BU57" s="855">
        <v>0</v>
      </c>
      <c r="BV57" s="581">
        <f t="shared" si="26"/>
        <v>46461.020000000004</v>
      </c>
      <c r="BW57" s="582">
        <f t="shared" si="27"/>
        <v>3005.8266069600068</v>
      </c>
      <c r="BX57" s="583">
        <f t="shared" si="28"/>
        <v>7.1292608714059069E-2</v>
      </c>
    </row>
    <row r="58" spans="1:76" ht="15" hidden="1">
      <c r="A58" s="591"/>
      <c r="B58" s="594" t="s">
        <v>858</v>
      </c>
      <c r="C58" s="595" t="s">
        <v>859</v>
      </c>
      <c r="D58" s="566" t="s">
        <v>761</v>
      </c>
      <c r="E58" s="567">
        <v>44949</v>
      </c>
      <c r="F58" s="568">
        <v>3.47</v>
      </c>
      <c r="G58" s="568">
        <v>3.47</v>
      </c>
      <c r="H58" s="568">
        <v>26</v>
      </c>
      <c r="I58" s="569">
        <f t="shared" si="73"/>
        <v>1769.56</v>
      </c>
      <c r="J58" s="570">
        <f t="shared" si="74"/>
        <v>180.44</v>
      </c>
      <c r="K58" s="571">
        <f t="shared" si="10"/>
        <v>135.32999999999998</v>
      </c>
      <c r="L58" s="571">
        <f t="shared" si="11"/>
        <v>45.11</v>
      </c>
      <c r="M58" s="534">
        <v>8810</v>
      </c>
      <c r="N58" s="568">
        <v>0.1716</v>
      </c>
      <c r="O58" s="602"/>
      <c r="P58" s="568"/>
      <c r="Q58" s="572">
        <f>W58*1.03</f>
        <v>26.398900000000001</v>
      </c>
      <c r="R58" s="572">
        <f t="shared" si="55"/>
        <v>27.190867000000001</v>
      </c>
      <c r="S58" s="573">
        <f t="shared" si="75"/>
        <v>35035.828113000003</v>
      </c>
      <c r="T58" s="573">
        <f t="shared" si="76"/>
        <v>12028.967652130001</v>
      </c>
      <c r="U58" s="574">
        <f t="shared" si="79"/>
        <v>47064.795765130002</v>
      </c>
      <c r="V58" s="575">
        <f t="shared" si="77"/>
        <v>51863.938912500002</v>
      </c>
      <c r="W58" s="744">
        <v>25.63</v>
      </c>
      <c r="X58" s="596">
        <v>1</v>
      </c>
      <c r="Y58" s="534">
        <v>1005</v>
      </c>
      <c r="Z58" s="570">
        <f t="shared" si="54"/>
        <v>0</v>
      </c>
      <c r="AA58" s="534" t="str">
        <f t="shared" si="54"/>
        <v>Hazley</v>
      </c>
      <c r="AB58" s="534" t="str">
        <f t="shared" si="54"/>
        <v>Shakita</v>
      </c>
      <c r="AD58" s="577" t="str">
        <f t="shared" si="80"/>
        <v>Hazley</v>
      </c>
      <c r="AE58" s="578" t="str">
        <f t="shared" si="80"/>
        <v>Shakita</v>
      </c>
      <c r="AF58" s="578" t="s">
        <v>860</v>
      </c>
      <c r="AG58" s="579">
        <f t="shared" si="78"/>
        <v>1950</v>
      </c>
      <c r="AH58" s="580">
        <v>45688</v>
      </c>
      <c r="AI58" s="580">
        <f t="shared" si="40"/>
        <v>47064.796852630003</v>
      </c>
      <c r="AJ58" s="580">
        <f t="shared" si="8"/>
        <v>4799.1431473699995</v>
      </c>
      <c r="AK58" s="855">
        <v>0</v>
      </c>
      <c r="AL58" s="855">
        <v>0</v>
      </c>
      <c r="AM58" s="855">
        <v>0</v>
      </c>
      <c r="AN58" s="855">
        <v>2074.56</v>
      </c>
      <c r="AO58" s="855">
        <v>0</v>
      </c>
      <c r="AP58" s="855">
        <v>0</v>
      </c>
      <c r="AQ58" s="855">
        <v>0</v>
      </c>
      <c r="AR58" s="855">
        <v>0</v>
      </c>
      <c r="AS58" s="855">
        <v>0</v>
      </c>
      <c r="AT58" s="855">
        <v>0</v>
      </c>
      <c r="AU58" s="855">
        <v>0</v>
      </c>
      <c r="AV58" s="855">
        <v>0</v>
      </c>
      <c r="AW58" s="855">
        <v>0</v>
      </c>
      <c r="AX58" s="855">
        <v>0</v>
      </c>
      <c r="AY58" s="855">
        <v>0</v>
      </c>
      <c r="AZ58" s="855">
        <v>0</v>
      </c>
      <c r="BA58" s="855">
        <v>0</v>
      </c>
      <c r="BB58" s="855">
        <v>0</v>
      </c>
      <c r="BC58" s="855">
        <v>0</v>
      </c>
      <c r="BD58" s="855">
        <v>22301.49</v>
      </c>
      <c r="BE58" s="855">
        <v>0</v>
      </c>
      <c r="BF58" s="855">
        <v>0</v>
      </c>
      <c r="BG58" s="855">
        <v>0</v>
      </c>
      <c r="BH58" s="855">
        <v>0</v>
      </c>
      <c r="BI58" s="855">
        <v>0</v>
      </c>
      <c r="BJ58" s="855">
        <v>0</v>
      </c>
      <c r="BK58" s="855">
        <v>16077.82</v>
      </c>
      <c r="BL58" s="855">
        <v>0</v>
      </c>
      <c r="BM58" s="855">
        <v>11410.07</v>
      </c>
      <c r="BN58" s="855">
        <v>0</v>
      </c>
      <c r="BO58" s="855">
        <v>0</v>
      </c>
      <c r="BP58" s="855"/>
      <c r="BQ58" s="855">
        <v>0</v>
      </c>
      <c r="BR58" s="855"/>
      <c r="BS58" s="855">
        <v>0</v>
      </c>
      <c r="BT58" s="855">
        <v>0</v>
      </c>
      <c r="BU58" s="855">
        <v>0</v>
      </c>
      <c r="BV58" s="581">
        <f t="shared" si="26"/>
        <v>51863.94</v>
      </c>
      <c r="BW58" s="582">
        <f t="shared" si="27"/>
        <v>1376.7968526300028</v>
      </c>
      <c r="BX58" s="583">
        <f t="shared" si="28"/>
        <v>2.9253219915960749E-2</v>
      </c>
    </row>
    <row r="59" spans="1:76" ht="15" hidden="1">
      <c r="A59" s="177">
        <v>64</v>
      </c>
      <c r="B59" s="564" t="s">
        <v>861</v>
      </c>
      <c r="C59" s="565" t="s">
        <v>862</v>
      </c>
      <c r="D59" s="566" t="s">
        <v>761</v>
      </c>
      <c r="E59" s="567">
        <v>37746</v>
      </c>
      <c r="F59" s="568">
        <v>6.92</v>
      </c>
      <c r="G59" s="568">
        <v>3.47</v>
      </c>
      <c r="H59" s="568">
        <v>26</v>
      </c>
      <c r="I59" s="569">
        <f t="shared" si="73"/>
        <v>1679.8600000000001</v>
      </c>
      <c r="J59" s="570">
        <f t="shared" si="74"/>
        <v>270.14</v>
      </c>
      <c r="K59" s="571">
        <f t="shared" si="10"/>
        <v>202.60499999999999</v>
      </c>
      <c r="L59" s="571">
        <f t="shared" si="11"/>
        <v>67.534999999999997</v>
      </c>
      <c r="M59" s="568">
        <v>8742</v>
      </c>
      <c r="N59" s="568">
        <v>0.35399999999999998</v>
      </c>
      <c r="O59" s="602"/>
      <c r="P59" s="602">
        <v>0</v>
      </c>
      <c r="Q59" s="572">
        <f>W59</f>
        <v>30.53</v>
      </c>
      <c r="R59" s="572">
        <f>W59</f>
        <v>30.53</v>
      </c>
      <c r="S59" s="573">
        <f t="shared" si="75"/>
        <v>38464.594349999999</v>
      </c>
      <c r="T59" s="573">
        <f t="shared" si="76"/>
        <v>12821.531450000002</v>
      </c>
      <c r="U59" s="574">
        <f t="shared" si="79"/>
        <v>51286.125800000002</v>
      </c>
      <c r="V59" s="575">
        <f t="shared" si="77"/>
        <v>59533.5</v>
      </c>
      <c r="W59" s="744">
        <v>30.53</v>
      </c>
      <c r="X59" s="576">
        <v>1</v>
      </c>
      <c r="Y59" s="566">
        <v>1016</v>
      </c>
      <c r="Z59" s="570">
        <f t="shared" si="54"/>
        <v>64</v>
      </c>
      <c r="AA59" s="534" t="str">
        <f t="shared" si="54"/>
        <v>Hensler</v>
      </c>
      <c r="AB59" s="534" t="str">
        <f t="shared" si="54"/>
        <v>Jody</v>
      </c>
      <c r="AC59" s="5" t="s">
        <v>863</v>
      </c>
      <c r="AD59" s="577" t="str">
        <f t="shared" si="80"/>
        <v>Hensler</v>
      </c>
      <c r="AE59" s="578" t="str">
        <f t="shared" si="80"/>
        <v>Jody</v>
      </c>
      <c r="AF59" s="578" t="s">
        <v>864</v>
      </c>
      <c r="AG59" s="579">
        <f t="shared" si="78"/>
        <v>1950</v>
      </c>
      <c r="AH59" s="580">
        <v>51286</v>
      </c>
      <c r="AI59" s="580">
        <f t="shared" si="40"/>
        <v>51286.125800000002</v>
      </c>
      <c r="AJ59" s="580">
        <f t="shared" si="8"/>
        <v>8247.3742000000002</v>
      </c>
      <c r="AK59" s="855">
        <v>0</v>
      </c>
      <c r="AL59" s="855">
        <v>0</v>
      </c>
      <c r="AM59" s="855">
        <v>0</v>
      </c>
      <c r="AN59" s="855">
        <v>0</v>
      </c>
      <c r="AO59" s="855">
        <v>0</v>
      </c>
      <c r="AP59" s="855">
        <v>0</v>
      </c>
      <c r="AQ59" s="855">
        <v>0</v>
      </c>
      <c r="AR59" s="855">
        <v>0</v>
      </c>
      <c r="AS59" s="855">
        <v>0</v>
      </c>
      <c r="AT59" s="855">
        <v>0</v>
      </c>
      <c r="AU59" s="855">
        <v>0</v>
      </c>
      <c r="AV59" s="855">
        <v>0</v>
      </c>
      <c r="AW59" s="855">
        <v>0</v>
      </c>
      <c r="AX59" s="855">
        <v>0</v>
      </c>
      <c r="AY59" s="855">
        <v>0</v>
      </c>
      <c r="AZ59" s="855">
        <v>0</v>
      </c>
      <c r="BA59" s="855">
        <v>0</v>
      </c>
      <c r="BB59" s="855">
        <v>0</v>
      </c>
      <c r="BC59" s="855">
        <v>0</v>
      </c>
      <c r="BD59" s="855">
        <v>59533.5</v>
      </c>
      <c r="BE59" s="855">
        <v>0</v>
      </c>
      <c r="BF59" s="855">
        <v>0</v>
      </c>
      <c r="BG59" s="855">
        <v>0</v>
      </c>
      <c r="BH59" s="855">
        <v>0</v>
      </c>
      <c r="BI59" s="855">
        <v>0</v>
      </c>
      <c r="BJ59" s="855">
        <v>0</v>
      </c>
      <c r="BK59" s="855">
        <v>0</v>
      </c>
      <c r="BL59" s="855">
        <v>0</v>
      </c>
      <c r="BM59" s="855">
        <v>0</v>
      </c>
      <c r="BN59" s="855">
        <v>0</v>
      </c>
      <c r="BO59" s="855">
        <v>0</v>
      </c>
      <c r="BP59" s="855"/>
      <c r="BQ59" s="855">
        <v>0</v>
      </c>
      <c r="BR59" s="855"/>
      <c r="BS59" s="855">
        <v>0</v>
      </c>
      <c r="BT59" s="855">
        <v>0</v>
      </c>
      <c r="BU59" s="855">
        <v>0</v>
      </c>
      <c r="BV59" s="581">
        <f t="shared" si="26"/>
        <v>59533.5</v>
      </c>
      <c r="BW59" s="582">
        <f t="shared" si="27"/>
        <v>0.12580000000161817</v>
      </c>
      <c r="BX59" s="583">
        <f t="shared" si="28"/>
        <v>2.4529051091404241E-6</v>
      </c>
    </row>
    <row r="60" spans="1:76" ht="15" hidden="1">
      <c r="A60" s="177">
        <v>77</v>
      </c>
      <c r="B60" s="564" t="s">
        <v>865</v>
      </c>
      <c r="C60" s="565" t="s">
        <v>866</v>
      </c>
      <c r="D60" s="566" t="s">
        <v>761</v>
      </c>
      <c r="E60" s="567">
        <v>38509</v>
      </c>
      <c r="F60" s="568">
        <v>6.92</v>
      </c>
      <c r="G60" s="568">
        <v>3.47</v>
      </c>
      <c r="H60" s="568">
        <v>26</v>
      </c>
      <c r="I60" s="569">
        <f t="shared" si="73"/>
        <v>1679.8600000000001</v>
      </c>
      <c r="J60" s="570">
        <f t="shared" si="74"/>
        <v>270.14</v>
      </c>
      <c r="K60" s="571">
        <f t="shared" si="10"/>
        <v>202.60499999999999</v>
      </c>
      <c r="L60" s="571">
        <f t="shared" si="11"/>
        <v>67.534999999999997</v>
      </c>
      <c r="M60" s="568">
        <v>8742</v>
      </c>
      <c r="N60" s="568">
        <v>0.35399999999999998</v>
      </c>
      <c r="O60" s="602"/>
      <c r="P60" s="602">
        <v>0</v>
      </c>
      <c r="Q60" s="572">
        <f>W60</f>
        <v>35.9</v>
      </c>
      <c r="R60" s="572">
        <f>W60</f>
        <v>35.9</v>
      </c>
      <c r="S60" s="573">
        <f t="shared" si="75"/>
        <v>45230.230499999998</v>
      </c>
      <c r="T60" s="573">
        <f t="shared" si="76"/>
        <v>15076.7435</v>
      </c>
      <c r="U60" s="574">
        <f t="shared" si="79"/>
        <v>60306.974000000002</v>
      </c>
      <c r="V60" s="575">
        <f t="shared" si="77"/>
        <v>70005</v>
      </c>
      <c r="W60" s="744">
        <v>35.9</v>
      </c>
      <c r="X60" s="576">
        <v>1</v>
      </c>
      <c r="Y60" s="566">
        <v>1071</v>
      </c>
      <c r="Z60" s="570">
        <f t="shared" si="54"/>
        <v>77</v>
      </c>
      <c r="AA60" s="534" t="str">
        <f t="shared" si="54"/>
        <v>Herlache</v>
      </c>
      <c r="AB60" s="534" t="str">
        <f t="shared" si="54"/>
        <v>Margaret</v>
      </c>
      <c r="AC60" s="5" t="s">
        <v>863</v>
      </c>
      <c r="AD60" s="577" t="str">
        <f t="shared" si="80"/>
        <v>Herlache</v>
      </c>
      <c r="AE60" s="578" t="str">
        <f t="shared" si="80"/>
        <v>Margaret</v>
      </c>
      <c r="AF60" s="578" t="s">
        <v>867</v>
      </c>
      <c r="AG60" s="579">
        <f t="shared" si="78"/>
        <v>1950</v>
      </c>
      <c r="AH60" s="580">
        <v>58358</v>
      </c>
      <c r="AI60" s="580">
        <f t="shared" si="40"/>
        <v>62942.724000000002</v>
      </c>
      <c r="AJ60" s="580">
        <f t="shared" si="8"/>
        <v>9698.0259999999998</v>
      </c>
      <c r="AK60" s="855">
        <v>0</v>
      </c>
      <c r="AL60" s="855">
        <v>0</v>
      </c>
      <c r="AM60" s="855">
        <v>0</v>
      </c>
      <c r="AN60" s="855">
        <v>0</v>
      </c>
      <c r="AO60" s="855">
        <v>0</v>
      </c>
      <c r="AP60" s="855">
        <v>0</v>
      </c>
      <c r="AQ60" s="855">
        <v>0</v>
      </c>
      <c r="AR60" s="855">
        <v>0</v>
      </c>
      <c r="AS60" s="855">
        <v>0</v>
      </c>
      <c r="AT60" s="855">
        <v>0</v>
      </c>
      <c r="AU60" s="855">
        <v>0</v>
      </c>
      <c r="AV60" s="855">
        <v>0</v>
      </c>
      <c r="AW60" s="855">
        <v>0</v>
      </c>
      <c r="AX60" s="855">
        <v>0</v>
      </c>
      <c r="AY60" s="855">
        <v>0</v>
      </c>
      <c r="AZ60" s="855">
        <v>0</v>
      </c>
      <c r="BA60" s="855">
        <v>0</v>
      </c>
      <c r="BB60" s="855">
        <v>0</v>
      </c>
      <c r="BC60" s="855">
        <v>0</v>
      </c>
      <c r="BD60" s="855">
        <v>0</v>
      </c>
      <c r="BE60" s="855">
        <v>0</v>
      </c>
      <c r="BF60" s="855">
        <v>0</v>
      </c>
      <c r="BG60" s="855">
        <v>0</v>
      </c>
      <c r="BH60" s="855">
        <v>0</v>
      </c>
      <c r="BI60" s="855">
        <v>0</v>
      </c>
      <c r="BJ60" s="855">
        <v>0</v>
      </c>
      <c r="BK60" s="855">
        <v>0</v>
      </c>
      <c r="BL60" s="855">
        <v>0</v>
      </c>
      <c r="BM60" s="855">
        <v>0</v>
      </c>
      <c r="BN60" s="855">
        <v>0</v>
      </c>
      <c r="BO60" s="855">
        <v>0</v>
      </c>
      <c r="BP60" s="855"/>
      <c r="BQ60" s="855">
        <v>0</v>
      </c>
      <c r="BR60" s="855"/>
      <c r="BS60" s="855">
        <v>10896.11</v>
      </c>
      <c r="BT60" s="855">
        <f>9443.3+2179.22</f>
        <v>11622.519999999999</v>
      </c>
      <c r="BU60" s="855">
        <f>21065.82+29056.3</f>
        <v>50122.119999999995</v>
      </c>
      <c r="BV60" s="581">
        <f t="shared" si="26"/>
        <v>22518.630000000005</v>
      </c>
      <c r="BW60" s="582">
        <f t="shared" si="27"/>
        <v>4584.724000000002</v>
      </c>
      <c r="BX60" s="583">
        <f t="shared" si="28"/>
        <v>7.2839618444222376E-2</v>
      </c>
    </row>
    <row r="61" spans="1:76" ht="15" hidden="1">
      <c r="A61" s="177">
        <v>214</v>
      </c>
      <c r="B61" s="564" t="s">
        <v>868</v>
      </c>
      <c r="C61" s="565" t="s">
        <v>869</v>
      </c>
      <c r="D61" s="566"/>
      <c r="E61" s="567"/>
      <c r="F61" s="568"/>
      <c r="G61" s="568"/>
      <c r="H61" s="568"/>
      <c r="I61" s="569"/>
      <c r="J61" s="570"/>
      <c r="K61" s="571"/>
      <c r="L61" s="571"/>
      <c r="M61" s="568"/>
      <c r="N61" s="568"/>
      <c r="O61" s="602"/>
      <c r="P61" s="568"/>
      <c r="Q61" s="572"/>
      <c r="R61" s="572"/>
      <c r="S61" s="573"/>
      <c r="T61" s="573"/>
      <c r="U61" s="574"/>
      <c r="V61" s="575"/>
      <c r="W61" s="744"/>
      <c r="X61" s="576"/>
      <c r="Y61" s="566"/>
      <c r="Z61" s="570"/>
      <c r="AA61" s="534"/>
      <c r="AB61" s="534"/>
      <c r="AD61" s="577" t="s">
        <v>868</v>
      </c>
      <c r="AE61" s="578" t="s">
        <v>870</v>
      </c>
      <c r="AF61" s="578" t="s">
        <v>825</v>
      </c>
      <c r="AG61" s="579">
        <v>0</v>
      </c>
      <c r="AH61" s="580">
        <v>39468</v>
      </c>
      <c r="AI61" s="580">
        <f t="shared" si="40"/>
        <v>0</v>
      </c>
      <c r="AJ61" s="580">
        <f t="shared" si="8"/>
        <v>0</v>
      </c>
      <c r="AK61" s="855">
        <v>0</v>
      </c>
      <c r="AL61" s="855">
        <v>0</v>
      </c>
      <c r="AM61" s="855">
        <v>0</v>
      </c>
      <c r="AN61" s="855">
        <v>0</v>
      </c>
      <c r="AO61" s="855">
        <v>0</v>
      </c>
      <c r="AP61" s="855">
        <v>0</v>
      </c>
      <c r="AQ61" s="855">
        <v>0</v>
      </c>
      <c r="AR61" s="855">
        <v>0</v>
      </c>
      <c r="AS61" s="855">
        <v>0</v>
      </c>
      <c r="AT61" s="855">
        <v>0</v>
      </c>
      <c r="AU61" s="855">
        <v>0</v>
      </c>
      <c r="AV61" s="855">
        <v>0</v>
      </c>
      <c r="AW61" s="855">
        <v>0</v>
      </c>
      <c r="AX61" s="855">
        <v>0</v>
      </c>
      <c r="AY61" s="855">
        <v>0</v>
      </c>
      <c r="AZ61" s="855">
        <v>0</v>
      </c>
      <c r="BA61" s="855">
        <v>0</v>
      </c>
      <c r="BB61" s="855">
        <v>0</v>
      </c>
      <c r="BC61" s="855">
        <v>0</v>
      </c>
      <c r="BD61" s="855">
        <v>0</v>
      </c>
      <c r="BE61" s="855">
        <v>0</v>
      </c>
      <c r="BF61" s="855">
        <v>0</v>
      </c>
      <c r="BG61" s="855">
        <v>0</v>
      </c>
      <c r="BH61" s="855">
        <v>0</v>
      </c>
      <c r="BI61" s="855">
        <v>0</v>
      </c>
      <c r="BJ61" s="855">
        <v>0</v>
      </c>
      <c r="BK61" s="855">
        <v>0</v>
      </c>
      <c r="BL61" s="855">
        <v>0</v>
      </c>
      <c r="BM61" s="855">
        <v>0</v>
      </c>
      <c r="BN61" s="855">
        <v>0</v>
      </c>
      <c r="BO61" s="855">
        <v>0</v>
      </c>
      <c r="BP61" s="855"/>
      <c r="BQ61" s="855">
        <v>0</v>
      </c>
      <c r="BR61" s="855"/>
      <c r="BS61" s="855">
        <v>0</v>
      </c>
      <c r="BT61" s="855">
        <v>0</v>
      </c>
      <c r="BU61" s="855">
        <v>0</v>
      </c>
      <c r="BV61" s="581">
        <f t="shared" si="26"/>
        <v>0</v>
      </c>
      <c r="BW61" s="582">
        <f t="shared" si="27"/>
        <v>-39468</v>
      </c>
      <c r="BX61" s="583" t="e">
        <f t="shared" si="28"/>
        <v>#DIV/0!</v>
      </c>
    </row>
    <row r="62" spans="1:76" ht="15" hidden="1">
      <c r="A62" s="177">
        <v>243</v>
      </c>
      <c r="B62" s="564" t="s">
        <v>871</v>
      </c>
      <c r="C62" s="565" t="s">
        <v>872</v>
      </c>
      <c r="D62" s="566"/>
      <c r="E62" s="567"/>
      <c r="F62" s="568"/>
      <c r="G62" s="568"/>
      <c r="H62" s="568"/>
      <c r="I62" s="569"/>
      <c r="J62" s="570"/>
      <c r="K62" s="571"/>
      <c r="L62" s="571"/>
      <c r="M62" s="566"/>
      <c r="N62" s="568"/>
      <c r="O62" s="602"/>
      <c r="P62" s="568"/>
      <c r="Q62" s="572"/>
      <c r="R62" s="572"/>
      <c r="S62" s="573"/>
      <c r="T62" s="573"/>
      <c r="U62" s="574"/>
      <c r="V62" s="575"/>
      <c r="W62" s="744"/>
      <c r="X62" s="576"/>
      <c r="Y62" s="566">
        <v>1010</v>
      </c>
      <c r="Z62" s="570">
        <f t="shared" si="54"/>
        <v>243</v>
      </c>
      <c r="AA62" s="534" t="str">
        <f t="shared" si="54"/>
        <v>Heuerman</v>
      </c>
      <c r="AB62" s="534" t="str">
        <f t="shared" si="54"/>
        <v xml:space="preserve">Blake </v>
      </c>
      <c r="AD62" s="577" t="str">
        <f t="shared" si="80"/>
        <v>Heuerman</v>
      </c>
      <c r="AE62" s="578" t="str">
        <f t="shared" si="80"/>
        <v xml:space="preserve">Blake </v>
      </c>
      <c r="AF62" s="578" t="s">
        <v>825</v>
      </c>
      <c r="AG62" s="579">
        <f>1950*X62</f>
        <v>0</v>
      </c>
      <c r="AH62" s="580">
        <v>38127</v>
      </c>
      <c r="AI62" s="580">
        <f t="shared" si="40"/>
        <v>0</v>
      </c>
      <c r="AJ62" s="580">
        <f t="shared" si="8"/>
        <v>0</v>
      </c>
      <c r="AK62" s="855">
        <v>0</v>
      </c>
      <c r="AL62" s="855">
        <v>0</v>
      </c>
      <c r="AM62" s="855">
        <v>0</v>
      </c>
      <c r="AN62" s="855">
        <v>0</v>
      </c>
      <c r="AO62" s="855">
        <v>0</v>
      </c>
      <c r="AP62" s="855">
        <v>0</v>
      </c>
      <c r="AQ62" s="855">
        <v>0</v>
      </c>
      <c r="AR62" s="855">
        <v>0</v>
      </c>
      <c r="AS62" s="855">
        <v>0</v>
      </c>
      <c r="AT62" s="855">
        <v>0</v>
      </c>
      <c r="AU62" s="855">
        <v>0</v>
      </c>
      <c r="AV62" s="855">
        <v>0</v>
      </c>
      <c r="AW62" s="855">
        <v>0</v>
      </c>
      <c r="AX62" s="855">
        <v>0</v>
      </c>
      <c r="AY62" s="855">
        <v>0</v>
      </c>
      <c r="AZ62" s="855">
        <v>0</v>
      </c>
      <c r="BA62" s="855">
        <v>0</v>
      </c>
      <c r="BB62" s="855">
        <v>0</v>
      </c>
      <c r="BC62" s="855">
        <v>0</v>
      </c>
      <c r="BD62" s="855">
        <v>0</v>
      </c>
      <c r="BE62" s="855">
        <v>0</v>
      </c>
      <c r="BF62" s="855">
        <v>0</v>
      </c>
      <c r="BG62" s="855">
        <v>0</v>
      </c>
      <c r="BH62" s="855">
        <v>0</v>
      </c>
      <c r="BI62" s="855">
        <v>0</v>
      </c>
      <c r="BJ62" s="855">
        <v>0</v>
      </c>
      <c r="BK62" s="855">
        <v>0</v>
      </c>
      <c r="BL62" s="855">
        <v>0</v>
      </c>
      <c r="BM62" s="855">
        <v>0</v>
      </c>
      <c r="BN62" s="855">
        <v>0</v>
      </c>
      <c r="BO62" s="855">
        <v>0</v>
      </c>
      <c r="BP62" s="855"/>
      <c r="BQ62" s="855">
        <v>0</v>
      </c>
      <c r="BR62" s="855"/>
      <c r="BS62" s="855">
        <v>0</v>
      </c>
      <c r="BT62" s="855">
        <v>0</v>
      </c>
      <c r="BU62" s="855">
        <v>0</v>
      </c>
      <c r="BV62" s="581">
        <f t="shared" si="26"/>
        <v>0</v>
      </c>
      <c r="BW62" s="582">
        <f t="shared" si="27"/>
        <v>-38127</v>
      </c>
      <c r="BX62" s="583" t="e">
        <f t="shared" si="28"/>
        <v>#DIV/0!</v>
      </c>
    </row>
    <row r="63" spans="1:76" ht="15" hidden="1">
      <c r="A63" s="591"/>
      <c r="B63" s="585" t="s">
        <v>873</v>
      </c>
      <c r="C63" s="586" t="s">
        <v>874</v>
      </c>
      <c r="D63" s="566"/>
      <c r="E63" s="567"/>
      <c r="F63" s="568"/>
      <c r="G63" s="568"/>
      <c r="H63" s="568"/>
      <c r="I63" s="569"/>
      <c r="J63" s="570"/>
      <c r="K63" s="571"/>
      <c r="L63" s="571"/>
      <c r="M63" s="566"/>
      <c r="N63" s="568"/>
      <c r="O63" s="602"/>
      <c r="P63" s="568"/>
      <c r="Q63" s="572"/>
      <c r="R63" s="572"/>
      <c r="S63" s="573"/>
      <c r="T63" s="573"/>
      <c r="U63" s="574"/>
      <c r="V63" s="575"/>
      <c r="W63" s="744"/>
      <c r="X63" s="576"/>
      <c r="Y63" s="566">
        <v>1017</v>
      </c>
      <c r="Z63" s="570">
        <f t="shared" si="54"/>
        <v>0</v>
      </c>
      <c r="AA63" s="534" t="str">
        <f t="shared" si="54"/>
        <v>Hochstedler</v>
      </c>
      <c r="AB63" s="534" t="str">
        <f t="shared" si="54"/>
        <v>Jason</v>
      </c>
      <c r="AD63" s="577" t="str">
        <f t="shared" si="80"/>
        <v>Hochstedler</v>
      </c>
      <c r="AE63" s="578" t="str">
        <f t="shared" si="80"/>
        <v>Jason</v>
      </c>
      <c r="AF63" s="578" t="s">
        <v>825</v>
      </c>
      <c r="AG63" s="579">
        <f>1950*X63</f>
        <v>0</v>
      </c>
      <c r="AH63" s="580">
        <v>38127</v>
      </c>
      <c r="AI63" s="580">
        <f t="shared" si="40"/>
        <v>0</v>
      </c>
      <c r="AJ63" s="580">
        <f t="shared" si="8"/>
        <v>0</v>
      </c>
      <c r="AK63" s="855">
        <v>0</v>
      </c>
      <c r="AL63" s="855">
        <v>0</v>
      </c>
      <c r="AM63" s="855">
        <v>0</v>
      </c>
      <c r="AN63" s="855">
        <v>0</v>
      </c>
      <c r="AO63" s="855">
        <v>0</v>
      </c>
      <c r="AP63" s="855">
        <v>0</v>
      </c>
      <c r="AQ63" s="855">
        <v>0</v>
      </c>
      <c r="AR63" s="855">
        <v>0</v>
      </c>
      <c r="AS63" s="855">
        <v>0</v>
      </c>
      <c r="AT63" s="855">
        <v>0</v>
      </c>
      <c r="AU63" s="855">
        <v>0</v>
      </c>
      <c r="AV63" s="855">
        <v>0</v>
      </c>
      <c r="AW63" s="855">
        <v>0</v>
      </c>
      <c r="AX63" s="855">
        <v>0</v>
      </c>
      <c r="AY63" s="855">
        <v>0</v>
      </c>
      <c r="AZ63" s="855">
        <v>0</v>
      </c>
      <c r="BA63" s="855">
        <v>0</v>
      </c>
      <c r="BB63" s="855">
        <v>0</v>
      </c>
      <c r="BC63" s="855">
        <v>0</v>
      </c>
      <c r="BD63" s="855">
        <v>0</v>
      </c>
      <c r="BE63" s="855">
        <v>0</v>
      </c>
      <c r="BF63" s="855">
        <v>0</v>
      </c>
      <c r="BG63" s="855">
        <v>0</v>
      </c>
      <c r="BH63" s="855">
        <v>0</v>
      </c>
      <c r="BI63" s="855">
        <v>0</v>
      </c>
      <c r="BJ63" s="855">
        <v>0</v>
      </c>
      <c r="BK63" s="855">
        <v>0</v>
      </c>
      <c r="BL63" s="855">
        <v>0</v>
      </c>
      <c r="BM63" s="855">
        <v>0</v>
      </c>
      <c r="BN63" s="855">
        <v>0</v>
      </c>
      <c r="BO63" s="855">
        <v>0</v>
      </c>
      <c r="BP63" s="855"/>
      <c r="BQ63" s="855">
        <v>0</v>
      </c>
      <c r="BR63" s="855"/>
      <c r="BS63" s="855">
        <v>0</v>
      </c>
      <c r="BT63" s="855">
        <v>0</v>
      </c>
      <c r="BU63" s="855">
        <v>0</v>
      </c>
      <c r="BV63" s="581">
        <f t="shared" si="26"/>
        <v>0</v>
      </c>
      <c r="BW63" s="582">
        <f t="shared" si="27"/>
        <v>-38127</v>
      </c>
      <c r="BX63" s="583" t="e">
        <f t="shared" si="28"/>
        <v>#DIV/0!</v>
      </c>
    </row>
    <row r="64" spans="1:76" ht="15" hidden="1">
      <c r="A64" s="177">
        <v>92</v>
      </c>
      <c r="B64" s="564" t="s">
        <v>875</v>
      </c>
      <c r="C64" s="565" t="s">
        <v>876</v>
      </c>
      <c r="D64" s="566" t="s">
        <v>761</v>
      </c>
      <c r="E64" s="567">
        <v>39244</v>
      </c>
      <c r="F64" s="568">
        <v>6.92</v>
      </c>
      <c r="G64" s="568">
        <v>3.47</v>
      </c>
      <c r="H64" s="568">
        <v>26</v>
      </c>
      <c r="I64" s="569">
        <f t="shared" ref="I64:I70" si="81">AG64-J64</f>
        <v>1679.8600000000001</v>
      </c>
      <c r="J64" s="570">
        <f>SUM(F64+G64)*H64</f>
        <v>270.14</v>
      </c>
      <c r="K64" s="571">
        <f t="shared" si="10"/>
        <v>202.60499999999999</v>
      </c>
      <c r="L64" s="571">
        <f t="shared" si="11"/>
        <v>67.534999999999997</v>
      </c>
      <c r="M64" s="568">
        <v>8810</v>
      </c>
      <c r="N64" s="568">
        <v>0.1716</v>
      </c>
      <c r="O64" s="602"/>
      <c r="P64" s="568"/>
      <c r="Q64" s="572">
        <f>W64*1.03</f>
        <v>33.505900000000004</v>
      </c>
      <c r="R64" s="572">
        <f t="shared" ref="R64:R70" si="82">Q64*1.03</f>
        <v>34.511077000000007</v>
      </c>
      <c r="S64" s="573">
        <f t="shared" ref="S64:S70" si="83">SUM(Q64*((AG64*0.75)-K64))</f>
        <v>42213.915880500004</v>
      </c>
      <c r="T64" s="573">
        <f t="shared" ref="T64:T70" si="84">SUM(R64*((AG64*0.25)-L64))</f>
        <v>14493.444452305004</v>
      </c>
      <c r="U64" s="574">
        <f>S64+T64</f>
        <v>56707.360332805009</v>
      </c>
      <c r="V64" s="575">
        <f t="shared" ref="V64:V70" si="85">Q64*(AG64*0.75)+R64*(AG64*0.25)</f>
        <v>65826.528787500007</v>
      </c>
      <c r="W64" s="744">
        <v>32.53</v>
      </c>
      <c r="X64" s="576">
        <v>1</v>
      </c>
      <c r="Y64" s="566">
        <v>1005</v>
      </c>
      <c r="Z64" s="570">
        <f t="shared" si="54"/>
        <v>92</v>
      </c>
      <c r="AA64" s="534" t="str">
        <f t="shared" si="54"/>
        <v>Holder-Hurley</v>
      </c>
      <c r="AB64" s="534" t="str">
        <f t="shared" si="54"/>
        <v>Laura</v>
      </c>
      <c r="AD64" s="577" t="str">
        <f t="shared" si="80"/>
        <v>Holder-Hurley</v>
      </c>
      <c r="AE64" s="578" t="str">
        <f t="shared" si="80"/>
        <v>Laura</v>
      </c>
      <c r="AF64" s="578" t="s">
        <v>877</v>
      </c>
      <c r="AG64" s="579">
        <f>1950*X64</f>
        <v>1950</v>
      </c>
      <c r="AH64" s="580">
        <v>55051</v>
      </c>
      <c r="AI64" s="580">
        <f t="shared" si="40"/>
        <v>56707.361545304986</v>
      </c>
      <c r="AJ64" s="580">
        <f t="shared" si="8"/>
        <v>9119.168454695</v>
      </c>
      <c r="AK64" s="855">
        <v>0</v>
      </c>
      <c r="AL64" s="855">
        <v>39495.919999999998</v>
      </c>
      <c r="AM64" s="855">
        <v>0</v>
      </c>
      <c r="AN64" s="855">
        <v>0</v>
      </c>
      <c r="AO64" s="855">
        <v>9873.98</v>
      </c>
      <c r="AP64" s="855">
        <v>0</v>
      </c>
      <c r="AQ64" s="855">
        <v>0</v>
      </c>
      <c r="AR64" s="855">
        <v>0</v>
      </c>
      <c r="AS64" s="855">
        <v>0</v>
      </c>
      <c r="AT64" s="855">
        <v>0</v>
      </c>
      <c r="AU64" s="855">
        <v>0</v>
      </c>
      <c r="AV64" s="855">
        <v>0</v>
      </c>
      <c r="AW64" s="855">
        <v>0</v>
      </c>
      <c r="AX64" s="855">
        <v>0</v>
      </c>
      <c r="AY64" s="855">
        <v>0</v>
      </c>
      <c r="AZ64" s="855">
        <v>0</v>
      </c>
      <c r="BA64" s="855">
        <v>0</v>
      </c>
      <c r="BB64" s="855">
        <v>0</v>
      </c>
      <c r="BC64" s="855">
        <v>0</v>
      </c>
      <c r="BD64" s="855">
        <v>0</v>
      </c>
      <c r="BE64" s="855">
        <v>0</v>
      </c>
      <c r="BF64" s="855">
        <v>0</v>
      </c>
      <c r="BG64" s="855">
        <v>0</v>
      </c>
      <c r="BH64" s="855">
        <v>0</v>
      </c>
      <c r="BI64" s="855">
        <v>0</v>
      </c>
      <c r="BJ64" s="855">
        <v>0</v>
      </c>
      <c r="BK64" s="855">
        <v>9873.98</v>
      </c>
      <c r="BL64" s="855">
        <v>0</v>
      </c>
      <c r="BM64" s="855">
        <v>0</v>
      </c>
      <c r="BN64" s="855">
        <v>0</v>
      </c>
      <c r="BO64" s="855">
        <v>0</v>
      </c>
      <c r="BP64" s="855"/>
      <c r="BQ64" s="855">
        <v>0</v>
      </c>
      <c r="BR64" s="855"/>
      <c r="BS64" s="855">
        <v>0</v>
      </c>
      <c r="BT64" s="855">
        <v>0</v>
      </c>
      <c r="BU64" s="855">
        <f>3949.59+2633.06</f>
        <v>6582.65</v>
      </c>
      <c r="BV64" s="581">
        <f t="shared" si="26"/>
        <v>59243.879999999983</v>
      </c>
      <c r="BW64" s="582">
        <f t="shared" si="27"/>
        <v>1656.3615453049861</v>
      </c>
      <c r="BX64" s="583">
        <f t="shared" si="28"/>
        <v>2.9208933375989954E-2</v>
      </c>
    </row>
    <row r="65" spans="1:76" ht="15" hidden="1">
      <c r="A65" s="177">
        <v>188</v>
      </c>
      <c r="B65" s="564" t="s">
        <v>878</v>
      </c>
      <c r="C65" s="565" t="s">
        <v>879</v>
      </c>
      <c r="D65" s="566" t="s">
        <v>761</v>
      </c>
      <c r="E65" s="567">
        <v>45358</v>
      </c>
      <c r="F65" s="568">
        <v>3.47</v>
      </c>
      <c r="G65" s="568">
        <v>3.47</v>
      </c>
      <c r="H65" s="568">
        <v>26</v>
      </c>
      <c r="I65" s="569">
        <f t="shared" si="81"/>
        <v>1769.56</v>
      </c>
      <c r="J65" s="570">
        <f t="shared" ref="J65:J66" si="86">SUM(F65+G65)*H65</f>
        <v>180.44</v>
      </c>
      <c r="K65" s="571">
        <f t="shared" si="10"/>
        <v>135.32999999999998</v>
      </c>
      <c r="L65" s="571">
        <f t="shared" si="11"/>
        <v>45.11</v>
      </c>
      <c r="M65" s="568">
        <v>8810</v>
      </c>
      <c r="N65" s="568">
        <v>0.1716</v>
      </c>
      <c r="O65" s="576">
        <v>0.1</v>
      </c>
      <c r="P65" s="568"/>
      <c r="Q65" s="572">
        <f>(W65*1.1)*1.03</f>
        <v>73.973570000000024</v>
      </c>
      <c r="R65" s="572">
        <f t="shared" si="82"/>
        <v>76.192777100000029</v>
      </c>
      <c r="S65" s="573">
        <f t="shared" si="83"/>
        <v>98175.502896900041</v>
      </c>
      <c r="T65" s="573">
        <f t="shared" si="84"/>
        <v>33706.922661269011</v>
      </c>
      <c r="U65" s="574">
        <f t="shared" ref="U65:U66" si="87">S65+T65</f>
        <v>131882.42555816905</v>
      </c>
      <c r="V65" s="575">
        <f t="shared" si="85"/>
        <v>145330.32496125007</v>
      </c>
      <c r="W65" s="744">
        <v>65.290000000000006</v>
      </c>
      <c r="X65" s="576">
        <v>1</v>
      </c>
      <c r="Y65" s="566">
        <v>1005</v>
      </c>
      <c r="Z65" s="570">
        <f t="shared" si="54"/>
        <v>188</v>
      </c>
      <c r="AA65" s="534" t="str">
        <f t="shared" si="54"/>
        <v>Jalazo</v>
      </c>
      <c r="AB65" s="534" t="str">
        <f t="shared" si="54"/>
        <v>Kristina</v>
      </c>
      <c r="AD65" s="577" t="str">
        <f t="shared" si="80"/>
        <v>Jalazo</v>
      </c>
      <c r="AE65" s="578" t="str">
        <f t="shared" si="80"/>
        <v>Kristina</v>
      </c>
      <c r="AF65" s="578" t="s">
        <v>880</v>
      </c>
      <c r="AG65" s="579">
        <f t="shared" ref="AG65:AG70" si="88">1950*X65</f>
        <v>1950</v>
      </c>
      <c r="AH65" s="580">
        <v>116385</v>
      </c>
      <c r="AI65" s="580">
        <f t="shared" si="40"/>
        <v>131497.62059691901</v>
      </c>
      <c r="AJ65" s="580">
        <f t="shared" si="8"/>
        <v>13447.899403081003</v>
      </c>
      <c r="AK65" s="855">
        <v>21741.83</v>
      </c>
      <c r="AL65" s="855">
        <v>5797.82</v>
      </c>
      <c r="AM65" s="855">
        <v>0</v>
      </c>
      <c r="AN65" s="855">
        <v>0</v>
      </c>
      <c r="AO65" s="855">
        <v>0</v>
      </c>
      <c r="AP65" s="855">
        <v>0</v>
      </c>
      <c r="AQ65" s="855">
        <v>0</v>
      </c>
      <c r="AR65" s="855">
        <v>0</v>
      </c>
      <c r="AS65" s="855">
        <v>0</v>
      </c>
      <c r="AT65" s="855">
        <v>0</v>
      </c>
      <c r="AU65" s="855">
        <v>0</v>
      </c>
      <c r="AV65" s="855">
        <v>0</v>
      </c>
      <c r="AW65" s="855">
        <v>0</v>
      </c>
      <c r="AX65" s="855">
        <v>0</v>
      </c>
      <c r="AY65" s="855">
        <v>0</v>
      </c>
      <c r="AZ65" s="855">
        <v>0</v>
      </c>
      <c r="BA65" s="855">
        <v>0</v>
      </c>
      <c r="BB65" s="855">
        <v>0</v>
      </c>
      <c r="BC65" s="855">
        <v>0</v>
      </c>
      <c r="BD65" s="855">
        <v>0</v>
      </c>
      <c r="BE65" s="855">
        <v>0</v>
      </c>
      <c r="BF65" s="855">
        <v>0</v>
      </c>
      <c r="BG65" s="855">
        <v>0</v>
      </c>
      <c r="BH65" s="855">
        <v>4348.37</v>
      </c>
      <c r="BI65" s="855">
        <v>0</v>
      </c>
      <c r="BJ65" s="855">
        <v>0</v>
      </c>
      <c r="BK65" s="855">
        <v>7247.28</v>
      </c>
      <c r="BL65" s="855">
        <v>0</v>
      </c>
      <c r="BM65" s="855">
        <v>0</v>
      </c>
      <c r="BN65" s="855">
        <v>0</v>
      </c>
      <c r="BO65" s="855">
        <v>0</v>
      </c>
      <c r="BP65" s="855"/>
      <c r="BQ65" s="855">
        <v>0</v>
      </c>
      <c r="BR65" s="855"/>
      <c r="BS65" s="855">
        <v>17393.46</v>
      </c>
      <c r="BT65" s="855">
        <f>28989.1+7247.28</f>
        <v>36236.379999999997</v>
      </c>
      <c r="BU65" s="855">
        <f>11595.64+26090.19+14494.55</f>
        <v>52180.380000000005</v>
      </c>
      <c r="BV65" s="581">
        <f t="shared" si="26"/>
        <v>92765.140000000014</v>
      </c>
      <c r="BW65" s="582">
        <f t="shared" si="27"/>
        <v>15112.620596919005</v>
      </c>
      <c r="BX65" s="583">
        <f t="shared" si="28"/>
        <v>0.11492695098448868</v>
      </c>
    </row>
    <row r="66" spans="1:76" ht="15" hidden="1">
      <c r="A66" s="591">
        <v>373</v>
      </c>
      <c r="B66" s="585" t="s">
        <v>881</v>
      </c>
      <c r="C66" s="586" t="s">
        <v>882</v>
      </c>
      <c r="D66" s="566" t="s">
        <v>830</v>
      </c>
      <c r="E66" s="567">
        <v>45397</v>
      </c>
      <c r="F66" s="568">
        <v>3.47</v>
      </c>
      <c r="G66" s="568">
        <v>3.47</v>
      </c>
      <c r="H66" s="568">
        <v>26</v>
      </c>
      <c r="I66" s="569">
        <f t="shared" si="81"/>
        <v>1769.56</v>
      </c>
      <c r="J66" s="570">
        <f t="shared" si="86"/>
        <v>180.44</v>
      </c>
      <c r="K66" s="571">
        <f t="shared" si="10"/>
        <v>135.32999999999998</v>
      </c>
      <c r="L66" s="571">
        <f t="shared" si="11"/>
        <v>45.11</v>
      </c>
      <c r="M66" s="566">
        <v>8742</v>
      </c>
      <c r="N66" s="568">
        <v>0.35399999999999998</v>
      </c>
      <c r="O66" s="602"/>
      <c r="P66" s="568"/>
      <c r="Q66" s="572">
        <f>W66*1.03+O66</f>
        <v>25.5749</v>
      </c>
      <c r="R66" s="572">
        <f t="shared" si="82"/>
        <v>26.342147000000001</v>
      </c>
      <c r="S66" s="573">
        <f t="shared" si="83"/>
        <v>33942.240033000002</v>
      </c>
      <c r="T66" s="573">
        <f t="shared" si="84"/>
        <v>11653.502411330001</v>
      </c>
      <c r="U66" s="574">
        <f t="shared" si="87"/>
        <v>45595.742444330004</v>
      </c>
      <c r="V66" s="575">
        <f t="shared" si="85"/>
        <v>50245.087912500006</v>
      </c>
      <c r="W66" s="744">
        <v>24.83</v>
      </c>
      <c r="X66" s="576">
        <v>1</v>
      </c>
      <c r="Y66" s="566">
        <v>1065</v>
      </c>
      <c r="Z66" s="570">
        <f t="shared" si="54"/>
        <v>373</v>
      </c>
      <c r="AA66" s="534" t="str">
        <f t="shared" si="54"/>
        <v>Johns</v>
      </c>
      <c r="AB66" s="534" t="str">
        <f t="shared" si="54"/>
        <v>Virginia</v>
      </c>
      <c r="AD66" s="577" t="str">
        <f t="shared" si="80"/>
        <v>Johns</v>
      </c>
      <c r="AE66" s="578" t="str">
        <f t="shared" si="80"/>
        <v>Virginia</v>
      </c>
      <c r="AF66" s="578" t="s">
        <v>777</v>
      </c>
      <c r="AG66" s="579">
        <f t="shared" si="88"/>
        <v>1950</v>
      </c>
      <c r="AH66" s="580">
        <v>44274</v>
      </c>
      <c r="AI66" s="580">
        <f t="shared" si="40"/>
        <v>45595.744531829994</v>
      </c>
      <c r="AJ66" s="580">
        <f t="shared" si="8"/>
        <v>4649.3454681699995</v>
      </c>
      <c r="AK66" s="855">
        <v>0</v>
      </c>
      <c r="AL66" s="855">
        <v>0</v>
      </c>
      <c r="AM66" s="855">
        <v>0</v>
      </c>
      <c r="AN66" s="855">
        <v>0</v>
      </c>
      <c r="AO66" s="855">
        <v>0</v>
      </c>
      <c r="AP66" s="855">
        <v>0</v>
      </c>
      <c r="AQ66" s="855">
        <v>0</v>
      </c>
      <c r="AR66" s="855">
        <v>0</v>
      </c>
      <c r="AS66" s="855">
        <v>0</v>
      </c>
      <c r="AT66" s="855">
        <v>0</v>
      </c>
      <c r="AU66" s="855">
        <v>0</v>
      </c>
      <c r="AV66" s="855">
        <v>0</v>
      </c>
      <c r="AW66" s="855">
        <v>0</v>
      </c>
      <c r="AX66" s="855">
        <v>0</v>
      </c>
      <c r="AY66" s="855">
        <v>0</v>
      </c>
      <c r="AZ66" s="855">
        <v>0</v>
      </c>
      <c r="BA66" s="855">
        <v>0</v>
      </c>
      <c r="BB66" s="855">
        <v>0</v>
      </c>
      <c r="BC66" s="855">
        <v>0</v>
      </c>
      <c r="BD66" s="855">
        <v>0</v>
      </c>
      <c r="BE66" s="855">
        <v>0</v>
      </c>
      <c r="BF66" s="855">
        <v>0</v>
      </c>
      <c r="BG66" s="855">
        <v>0</v>
      </c>
      <c r="BH66" s="855">
        <v>0</v>
      </c>
      <c r="BI66" s="855">
        <v>0</v>
      </c>
      <c r="BJ66" s="855">
        <v>0</v>
      </c>
      <c r="BK66" s="855">
        <v>0</v>
      </c>
      <c r="BL66" s="855">
        <v>0</v>
      </c>
      <c r="BM66" s="855">
        <v>0</v>
      </c>
      <c r="BN66" s="855">
        <v>0</v>
      </c>
      <c r="BO66" s="855">
        <v>0</v>
      </c>
      <c r="BP66" s="855"/>
      <c r="BQ66" s="855">
        <v>0</v>
      </c>
      <c r="BR66" s="855"/>
      <c r="BS66" s="855">
        <v>0</v>
      </c>
      <c r="BT66" s="855">
        <v>0</v>
      </c>
      <c r="BU66" s="855">
        <f>37683.82+12561.27</f>
        <v>50245.09</v>
      </c>
      <c r="BV66" s="581">
        <f t="shared" si="26"/>
        <v>0</v>
      </c>
      <c r="BW66" s="582">
        <f t="shared" si="27"/>
        <v>1321.7445318299942</v>
      </c>
      <c r="BX66" s="583">
        <f t="shared" si="28"/>
        <v>2.8988330937491202E-2</v>
      </c>
    </row>
    <row r="67" spans="1:76" ht="15" hidden="1">
      <c r="A67" s="591">
        <v>232</v>
      </c>
      <c r="B67" s="585" t="s">
        <v>883</v>
      </c>
      <c r="C67" s="586" t="s">
        <v>884</v>
      </c>
      <c r="D67" s="566" t="s">
        <v>761</v>
      </c>
      <c r="E67" s="567">
        <v>45852</v>
      </c>
      <c r="F67" s="568">
        <v>3.47</v>
      </c>
      <c r="G67" s="568">
        <v>3.47</v>
      </c>
      <c r="H67" s="568">
        <v>26</v>
      </c>
      <c r="I67" s="569">
        <f t="shared" si="81"/>
        <v>1769.56</v>
      </c>
      <c r="J67" s="570">
        <f t="shared" ref="J67" si="89">SUM(F67+G67)*H67</f>
        <v>180.44</v>
      </c>
      <c r="K67" s="571">
        <f t="shared" ref="K67" si="90">J67*$K$22</f>
        <v>135.32999999999998</v>
      </c>
      <c r="L67" s="571">
        <f t="shared" ref="L67" si="91">J67*$L$22</f>
        <v>45.11</v>
      </c>
      <c r="M67" s="566">
        <v>8742</v>
      </c>
      <c r="N67" s="568">
        <v>0.35399999999999998</v>
      </c>
      <c r="O67" s="602"/>
      <c r="P67" s="568"/>
      <c r="Q67" s="572">
        <f>W67*1.03+O67</f>
        <v>28.530999999999999</v>
      </c>
      <c r="R67" s="572">
        <f t="shared" si="82"/>
        <v>29.38693</v>
      </c>
      <c r="S67" s="573">
        <f t="shared" si="83"/>
        <v>37865.487269999998</v>
      </c>
      <c r="T67" s="573">
        <f t="shared" si="84"/>
        <v>13000.4839627</v>
      </c>
      <c r="U67" s="574">
        <f t="shared" ref="U67" si="92">S67+T67</f>
        <v>50865.971232700002</v>
      </c>
      <c r="V67" s="575">
        <f t="shared" si="85"/>
        <v>56052.715875000002</v>
      </c>
      <c r="W67" s="744">
        <v>27.7</v>
      </c>
      <c r="X67" s="576">
        <v>1</v>
      </c>
      <c r="Y67" s="566"/>
      <c r="Z67" s="570"/>
      <c r="AA67" s="534" t="str">
        <f t="shared" ref="AA67:AB67" si="93">B67</f>
        <v>Kershaw</v>
      </c>
      <c r="AB67" s="534" t="str">
        <f t="shared" si="93"/>
        <v>Nayomi</v>
      </c>
      <c r="AD67" s="577" t="str">
        <f t="shared" si="80"/>
        <v>Kershaw</v>
      </c>
      <c r="AE67" s="578" t="str">
        <f t="shared" si="80"/>
        <v>Nayomi</v>
      </c>
      <c r="AF67" s="578" t="s">
        <v>885</v>
      </c>
      <c r="AG67" s="579">
        <f t="shared" si="88"/>
        <v>1950</v>
      </c>
      <c r="AH67" s="580">
        <v>54990</v>
      </c>
      <c r="AI67" s="580">
        <f t="shared" si="40"/>
        <v>50865.975357700001</v>
      </c>
      <c r="AJ67" s="580">
        <f t="shared" si="8"/>
        <v>5186.7446422999992</v>
      </c>
      <c r="AK67" s="855">
        <v>0</v>
      </c>
      <c r="AL67" s="855">
        <v>0</v>
      </c>
      <c r="AM67" s="855">
        <v>0</v>
      </c>
      <c r="AN67" s="855">
        <v>0</v>
      </c>
      <c r="AO67" s="855">
        <v>0</v>
      </c>
      <c r="AP67" s="855">
        <v>0</v>
      </c>
      <c r="AQ67" s="855">
        <v>0</v>
      </c>
      <c r="AR67" s="855">
        <v>0</v>
      </c>
      <c r="AS67" s="855">
        <v>0</v>
      </c>
      <c r="AT67" s="855">
        <v>0</v>
      </c>
      <c r="AU67" s="855">
        <v>0</v>
      </c>
      <c r="AV67" s="855">
        <v>0</v>
      </c>
      <c r="AW67" s="855">
        <v>0</v>
      </c>
      <c r="AX67" s="855">
        <v>0</v>
      </c>
      <c r="AY67" s="855">
        <v>0</v>
      </c>
      <c r="AZ67" s="855">
        <v>0</v>
      </c>
      <c r="BA67" s="855">
        <v>0</v>
      </c>
      <c r="BB67" s="855">
        <v>0</v>
      </c>
      <c r="BC67" s="855">
        <v>0</v>
      </c>
      <c r="BD67" s="855">
        <v>0</v>
      </c>
      <c r="BE67" s="855">
        <v>0</v>
      </c>
      <c r="BF67" s="855">
        <v>0</v>
      </c>
      <c r="BG67" s="855">
        <v>0</v>
      </c>
      <c r="BH67" s="855">
        <v>0</v>
      </c>
      <c r="BI67" s="855">
        <v>0</v>
      </c>
      <c r="BJ67" s="855">
        <v>0</v>
      </c>
      <c r="BK67" s="855">
        <v>0</v>
      </c>
      <c r="BL67" s="855">
        <v>28026.36</v>
      </c>
      <c r="BM67" s="855">
        <v>28026.36</v>
      </c>
      <c r="BN67" s="855">
        <v>0</v>
      </c>
      <c r="BO67" s="855">
        <v>0</v>
      </c>
      <c r="BP67" s="855"/>
      <c r="BQ67" s="855">
        <v>0</v>
      </c>
      <c r="BR67" s="855"/>
      <c r="BS67" s="855">
        <v>0</v>
      </c>
      <c r="BT67" s="855">
        <v>0</v>
      </c>
      <c r="BU67" s="855">
        <v>0</v>
      </c>
      <c r="BV67" s="581">
        <f t="shared" si="26"/>
        <v>56052.72</v>
      </c>
      <c r="BW67" s="582">
        <f t="shared" si="27"/>
        <v>-4124.024642299999</v>
      </c>
      <c r="BX67" s="583">
        <f t="shared" si="28"/>
        <v>-8.1076291436446679E-2</v>
      </c>
    </row>
    <row r="68" spans="1:76" ht="15" hidden="1">
      <c r="A68" s="591"/>
      <c r="B68" s="585" t="s">
        <v>886</v>
      </c>
      <c r="C68" s="586" t="s">
        <v>887</v>
      </c>
      <c r="D68" s="566" t="s">
        <v>761</v>
      </c>
      <c r="E68" s="567">
        <v>46132</v>
      </c>
      <c r="F68" s="568">
        <v>3.47</v>
      </c>
      <c r="G68" s="568">
        <v>3.47</v>
      </c>
      <c r="H68" s="568">
        <v>26</v>
      </c>
      <c r="I68" s="569">
        <f t="shared" si="81"/>
        <v>1769.56</v>
      </c>
      <c r="J68" s="570">
        <f t="shared" ref="J68" si="94">SUM(F68+G68)*H68</f>
        <v>180.44</v>
      </c>
      <c r="K68" s="571">
        <f t="shared" ref="K68" si="95">J68*$K$22</f>
        <v>135.32999999999998</v>
      </c>
      <c r="L68" s="571">
        <f t="shared" ref="L68" si="96">J68*$L$22</f>
        <v>45.11</v>
      </c>
      <c r="M68" s="566">
        <v>8742</v>
      </c>
      <c r="N68" s="568">
        <v>0.35399999999999998</v>
      </c>
      <c r="O68" s="602">
        <v>1</v>
      </c>
      <c r="P68" s="568"/>
      <c r="Q68" s="572">
        <f>(W68+O68)*1.03</f>
        <v>22.66</v>
      </c>
      <c r="R68" s="572">
        <f t="shared" si="82"/>
        <v>23.3398</v>
      </c>
      <c r="S68" s="573">
        <f t="shared" si="83"/>
        <v>30073.672200000001</v>
      </c>
      <c r="T68" s="573">
        <f t="shared" si="84"/>
        <v>10325.294121999999</v>
      </c>
      <c r="U68" s="574">
        <f>S68+T68</f>
        <v>40398.966322</v>
      </c>
      <c r="V68" s="575">
        <f t="shared" si="85"/>
        <v>44518.402499999997</v>
      </c>
      <c r="W68" s="744">
        <v>21</v>
      </c>
      <c r="X68" s="576">
        <v>1</v>
      </c>
      <c r="Y68" s="566"/>
      <c r="Z68" s="570"/>
      <c r="AA68" s="534"/>
      <c r="AB68" s="534"/>
      <c r="AD68" s="577" t="str">
        <f t="shared" ref="AD68:AE70" si="97">B68</f>
        <v>Lauby</v>
      </c>
      <c r="AE68" s="578" t="str">
        <f t="shared" si="97"/>
        <v>Nathan</v>
      </c>
      <c r="AF68" s="578" t="s">
        <v>888</v>
      </c>
      <c r="AG68" s="579">
        <f t="shared" si="88"/>
        <v>1950</v>
      </c>
      <c r="AH68" s="580">
        <v>0</v>
      </c>
      <c r="AI68" s="580">
        <f t="shared" ref="AI68" si="98">SUM(AK68:BU68)-AJ68</f>
        <v>40398.963822000005</v>
      </c>
      <c r="AJ68" s="580">
        <f t="shared" ref="AJ68" si="99">(Q68*K68)+(R68*L68)</f>
        <v>4119.4361779999999</v>
      </c>
      <c r="AK68" s="855">
        <v>0</v>
      </c>
      <c r="AL68" s="855">
        <v>0</v>
      </c>
      <c r="AM68" s="855">
        <v>0</v>
      </c>
      <c r="AN68" s="855">
        <v>0</v>
      </c>
      <c r="AO68" s="855">
        <v>0</v>
      </c>
      <c r="AP68" s="855">
        <v>0</v>
      </c>
      <c r="AQ68" s="855">
        <v>0</v>
      </c>
      <c r="AR68" s="855">
        <v>0</v>
      </c>
      <c r="AS68" s="855">
        <v>0</v>
      </c>
      <c r="AT68" s="855">
        <v>0</v>
      </c>
      <c r="AU68" s="855">
        <v>0</v>
      </c>
      <c r="AV68" s="855">
        <v>0</v>
      </c>
      <c r="AW68" s="855">
        <v>0</v>
      </c>
      <c r="AX68" s="855">
        <v>0</v>
      </c>
      <c r="AY68" s="855">
        <v>0</v>
      </c>
      <c r="AZ68" s="855">
        <v>0</v>
      </c>
      <c r="BA68" s="855">
        <v>0</v>
      </c>
      <c r="BB68" s="855">
        <v>0</v>
      </c>
      <c r="BC68" s="855">
        <v>0</v>
      </c>
      <c r="BD68" s="855">
        <v>0</v>
      </c>
      <c r="BE68" s="855">
        <v>0</v>
      </c>
      <c r="BF68" s="855">
        <v>0</v>
      </c>
      <c r="BG68" s="855">
        <v>0</v>
      </c>
      <c r="BH68" s="855">
        <v>0</v>
      </c>
      <c r="BI68" s="855">
        <v>0</v>
      </c>
      <c r="BJ68" s="855">
        <v>0</v>
      </c>
      <c r="BK68" s="855">
        <v>32943.620000000003</v>
      </c>
      <c r="BL68" s="855">
        <v>0</v>
      </c>
      <c r="BM68" s="855">
        <v>11574.78</v>
      </c>
      <c r="BN68" s="855">
        <v>0</v>
      </c>
      <c r="BO68" s="855">
        <v>0</v>
      </c>
      <c r="BP68" s="855"/>
      <c r="BQ68" s="855">
        <v>0</v>
      </c>
      <c r="BR68" s="855"/>
      <c r="BS68" s="855">
        <v>0</v>
      </c>
      <c r="BT68" s="855">
        <v>0</v>
      </c>
      <c r="BU68" s="855">
        <v>0</v>
      </c>
      <c r="BV68" s="581">
        <f t="shared" si="26"/>
        <v>44518.400000000001</v>
      </c>
      <c r="BW68" s="582">
        <f t="shared" si="27"/>
        <v>40398.963822000005</v>
      </c>
      <c r="BX68" s="583">
        <f t="shared" si="28"/>
        <v>1</v>
      </c>
    </row>
    <row r="69" spans="1:76" ht="15" hidden="1">
      <c r="A69" s="591"/>
      <c r="B69" s="585" t="s">
        <v>889</v>
      </c>
      <c r="C69" s="586" t="s">
        <v>890</v>
      </c>
      <c r="D69" s="566" t="s">
        <v>761</v>
      </c>
      <c r="E69" s="567">
        <v>46139</v>
      </c>
      <c r="F69" s="568">
        <v>3.47</v>
      </c>
      <c r="G69" s="568">
        <v>3.47</v>
      </c>
      <c r="H69" s="568">
        <v>26</v>
      </c>
      <c r="I69" s="569">
        <f t="shared" si="81"/>
        <v>1769.56</v>
      </c>
      <c r="J69" s="570">
        <f t="shared" ref="J69" si="100">SUM(F69+G69)*H69</f>
        <v>180.44</v>
      </c>
      <c r="K69" s="571">
        <f t="shared" ref="K69" si="101">J69*$K$22</f>
        <v>135.32999999999998</v>
      </c>
      <c r="L69" s="571">
        <f t="shared" ref="L69" si="102">J69*$L$22</f>
        <v>45.11</v>
      </c>
      <c r="M69" s="566">
        <v>8742</v>
      </c>
      <c r="N69" s="568">
        <v>0.35399999999999998</v>
      </c>
      <c r="O69" s="602"/>
      <c r="P69" s="568"/>
      <c r="Q69" s="572">
        <f>W69+O69</f>
        <v>51.28</v>
      </c>
      <c r="R69" s="572">
        <f t="shared" si="82"/>
        <v>52.818400000000004</v>
      </c>
      <c r="S69" s="573">
        <f t="shared" si="83"/>
        <v>68057.277600000001</v>
      </c>
      <c r="T69" s="573">
        <f t="shared" si="84"/>
        <v>23366.331976000001</v>
      </c>
      <c r="U69" s="574">
        <f t="shared" ref="U69" si="103">S69+T69</f>
        <v>91423.609576000003</v>
      </c>
      <c r="V69" s="575">
        <f t="shared" si="85"/>
        <v>100745.97</v>
      </c>
      <c r="W69" s="744">
        <v>51.28</v>
      </c>
      <c r="X69" s="576">
        <v>1</v>
      </c>
      <c r="Y69" s="566"/>
      <c r="Z69" s="570"/>
      <c r="AA69" s="534"/>
      <c r="AB69" s="534"/>
      <c r="AD69" s="577" t="str">
        <f t="shared" si="97"/>
        <v>Lavandier</v>
      </c>
      <c r="AE69" s="578" t="str">
        <f t="shared" si="97"/>
        <v>Kharla</v>
      </c>
      <c r="AF69" s="578" t="s">
        <v>891</v>
      </c>
      <c r="AG69" s="579">
        <f t="shared" si="88"/>
        <v>1950</v>
      </c>
      <c r="AH69" s="580">
        <v>0</v>
      </c>
      <c r="AI69" s="580">
        <f t="shared" ref="AI69" si="104">SUM(AK69:BU69)-AJ69</f>
        <v>90677.639576000001</v>
      </c>
      <c r="AJ69" s="580">
        <f t="shared" ref="AJ69" si="105">(Q69*K69)+(R69*L69)</f>
        <v>9322.3604240000004</v>
      </c>
      <c r="AK69" s="855">
        <v>0</v>
      </c>
      <c r="AL69" s="855">
        <v>10000</v>
      </c>
      <c r="AM69" s="855">
        <v>10000</v>
      </c>
      <c r="AN69" s="855">
        <v>0</v>
      </c>
      <c r="AO69" s="855">
        <v>8000</v>
      </c>
      <c r="AP69" s="855">
        <v>0</v>
      </c>
      <c r="AQ69" s="855">
        <v>0</v>
      </c>
      <c r="AR69" s="855">
        <v>0</v>
      </c>
      <c r="AS69" s="855">
        <v>0</v>
      </c>
      <c r="AT69" s="855">
        <v>0</v>
      </c>
      <c r="AU69" s="855">
        <v>0</v>
      </c>
      <c r="AV69" s="855">
        <v>0</v>
      </c>
      <c r="AW69" s="855">
        <v>0</v>
      </c>
      <c r="AX69" s="855">
        <v>0</v>
      </c>
      <c r="AY69" s="855">
        <v>0</v>
      </c>
      <c r="AZ69" s="855">
        <v>0</v>
      </c>
      <c r="BA69" s="855">
        <v>0</v>
      </c>
      <c r="BB69" s="855">
        <v>0</v>
      </c>
      <c r="BC69" s="855">
        <v>0</v>
      </c>
      <c r="BD69" s="855">
        <v>0</v>
      </c>
      <c r="BE69" s="855">
        <v>0</v>
      </c>
      <c r="BF69" s="855">
        <v>0</v>
      </c>
      <c r="BG69" s="855">
        <v>0</v>
      </c>
      <c r="BH69" s="855">
        <v>3000</v>
      </c>
      <c r="BI69" s="855">
        <v>5000</v>
      </c>
      <c r="BJ69" s="855">
        <v>0</v>
      </c>
      <c r="BK69" s="855">
        <v>25000</v>
      </c>
      <c r="BL69" s="855">
        <v>0</v>
      </c>
      <c r="BM69" s="855">
        <v>4000</v>
      </c>
      <c r="BN69" s="855">
        <v>5000</v>
      </c>
      <c r="BO69" s="855">
        <v>5000</v>
      </c>
      <c r="BP69" s="855"/>
      <c r="BQ69" s="855">
        <v>0</v>
      </c>
      <c r="BR69" s="855"/>
      <c r="BS69" s="855">
        <v>0</v>
      </c>
      <c r="BT69" s="855">
        <f>10000+2000</f>
        <v>12000</v>
      </c>
      <c r="BU69" s="855">
        <f>11000+2000</f>
        <v>13000</v>
      </c>
      <c r="BV69" s="581">
        <f t="shared" si="26"/>
        <v>87000</v>
      </c>
      <c r="BW69" s="582">
        <f t="shared" si="27"/>
        <v>90677.639576000001</v>
      </c>
      <c r="BX69" s="583">
        <f t="shared" si="28"/>
        <v>1</v>
      </c>
    </row>
    <row r="70" spans="1:76" ht="15" hidden="1">
      <c r="A70" s="591"/>
      <c r="B70" s="585" t="s">
        <v>892</v>
      </c>
      <c r="C70" s="586" t="s">
        <v>893</v>
      </c>
      <c r="D70" s="566" t="s">
        <v>761</v>
      </c>
      <c r="E70" s="567">
        <v>46174</v>
      </c>
      <c r="F70" s="568">
        <v>3.47</v>
      </c>
      <c r="G70" s="568">
        <v>3.47</v>
      </c>
      <c r="H70" s="568">
        <v>26</v>
      </c>
      <c r="I70" s="569">
        <f t="shared" si="81"/>
        <v>1769.56</v>
      </c>
      <c r="J70" s="570">
        <f t="shared" ref="J70" si="106">SUM(F70+G70)*H70</f>
        <v>180.44</v>
      </c>
      <c r="K70" s="571">
        <f t="shared" ref="K70" si="107">J70*$K$22</f>
        <v>135.32999999999998</v>
      </c>
      <c r="L70" s="571">
        <f t="shared" ref="L70" si="108">J70*$L$22</f>
        <v>45.11</v>
      </c>
      <c r="M70" s="566">
        <v>8742</v>
      </c>
      <c r="N70" s="568">
        <v>0.35399999999999998</v>
      </c>
      <c r="O70" s="602"/>
      <c r="P70" s="568"/>
      <c r="Q70" s="572">
        <f>W70*1.03+O70</f>
        <v>21.63</v>
      </c>
      <c r="R70" s="572">
        <f t="shared" si="82"/>
        <v>22.2789</v>
      </c>
      <c r="S70" s="573">
        <f t="shared" si="83"/>
        <v>28706.687099999999</v>
      </c>
      <c r="T70" s="573">
        <f t="shared" si="84"/>
        <v>9855.962571</v>
      </c>
      <c r="U70" s="574">
        <f t="shared" ref="U70" si="109">S70+T70</f>
        <v>38562.649670999999</v>
      </c>
      <c r="V70" s="575">
        <f t="shared" si="85"/>
        <v>42494.838750000003</v>
      </c>
      <c r="W70" s="744">
        <v>21</v>
      </c>
      <c r="X70" s="576">
        <v>1</v>
      </c>
      <c r="Y70" s="566"/>
      <c r="Z70" s="570"/>
      <c r="AA70" s="534"/>
      <c r="AB70" s="534"/>
      <c r="AD70" s="577" t="str">
        <f t="shared" si="97"/>
        <v>Leadingham</v>
      </c>
      <c r="AE70" s="578" t="str">
        <f t="shared" si="97"/>
        <v xml:space="preserve">Lauren </v>
      </c>
      <c r="AF70" s="578" t="s">
        <v>894</v>
      </c>
      <c r="AG70" s="579">
        <f t="shared" si="88"/>
        <v>1950</v>
      </c>
      <c r="AH70" s="580">
        <v>0</v>
      </c>
      <c r="AI70" s="580">
        <f t="shared" ref="AI70" si="110">SUM(AK70:BU70)-AJ70</f>
        <v>38562.650921</v>
      </c>
      <c r="AJ70" s="580">
        <f t="shared" ref="AJ70" si="111">(Q70*K70)+(R70*L70)</f>
        <v>3932.1890789999993</v>
      </c>
      <c r="AK70" s="855">
        <v>0</v>
      </c>
      <c r="AL70" s="855">
        <v>0</v>
      </c>
      <c r="AM70" s="855">
        <v>0</v>
      </c>
      <c r="AN70" s="855">
        <v>0</v>
      </c>
      <c r="AO70" s="855">
        <v>0</v>
      </c>
      <c r="AP70" s="855">
        <v>0</v>
      </c>
      <c r="AQ70" s="855">
        <v>0</v>
      </c>
      <c r="AR70" s="855">
        <v>0</v>
      </c>
      <c r="AS70" s="855">
        <v>0</v>
      </c>
      <c r="AT70" s="855">
        <v>0</v>
      </c>
      <c r="AU70" s="855">
        <v>0</v>
      </c>
      <c r="AV70" s="855">
        <v>0</v>
      </c>
      <c r="AW70" s="855">
        <v>0</v>
      </c>
      <c r="AX70" s="855">
        <v>0</v>
      </c>
      <c r="AY70" s="855">
        <v>0</v>
      </c>
      <c r="AZ70" s="855">
        <v>0</v>
      </c>
      <c r="BA70" s="855">
        <v>0</v>
      </c>
      <c r="BB70" s="855">
        <v>0</v>
      </c>
      <c r="BC70" s="855">
        <v>0</v>
      </c>
      <c r="BD70" s="855">
        <v>0</v>
      </c>
      <c r="BE70" s="855">
        <v>0</v>
      </c>
      <c r="BF70" s="855">
        <v>0</v>
      </c>
      <c r="BG70" s="855">
        <v>0</v>
      </c>
      <c r="BH70" s="855">
        <v>0</v>
      </c>
      <c r="BI70" s="855">
        <v>0</v>
      </c>
      <c r="BJ70" s="855">
        <v>0</v>
      </c>
      <c r="BK70" s="855">
        <v>0</v>
      </c>
      <c r="BL70" s="855">
        <v>0</v>
      </c>
      <c r="BM70" s="855">
        <v>0</v>
      </c>
      <c r="BN70" s="855">
        <v>0</v>
      </c>
      <c r="BO70" s="855">
        <v>0</v>
      </c>
      <c r="BP70" s="855"/>
      <c r="BQ70" s="855">
        <v>0</v>
      </c>
      <c r="BR70" s="855"/>
      <c r="BS70" s="855">
        <v>42494.84</v>
      </c>
      <c r="BT70" s="855">
        <v>0</v>
      </c>
      <c r="BU70" s="855">
        <v>0</v>
      </c>
      <c r="BV70" s="581">
        <f t="shared" si="26"/>
        <v>42494.84</v>
      </c>
      <c r="BW70" s="582">
        <f t="shared" si="27"/>
        <v>38562.650921</v>
      </c>
      <c r="BX70" s="583">
        <f t="shared" si="28"/>
        <v>1</v>
      </c>
    </row>
    <row r="71" spans="1:76" ht="15" hidden="1">
      <c r="A71" s="177">
        <v>252</v>
      </c>
      <c r="B71" s="564" t="s">
        <v>895</v>
      </c>
      <c r="C71" s="565" t="s">
        <v>896</v>
      </c>
      <c r="D71" s="566"/>
      <c r="E71" s="567"/>
      <c r="F71" s="568"/>
      <c r="G71" s="568"/>
      <c r="H71" s="568"/>
      <c r="I71" s="569"/>
      <c r="J71" s="570"/>
      <c r="K71" s="571"/>
      <c r="L71" s="571"/>
      <c r="M71" s="568"/>
      <c r="N71" s="568"/>
      <c r="O71" s="602"/>
      <c r="P71" s="568"/>
      <c r="Q71" s="572"/>
      <c r="R71" s="572"/>
      <c r="S71" s="573"/>
      <c r="T71" s="573"/>
      <c r="U71" s="574"/>
      <c r="V71" s="575"/>
      <c r="W71" s="744"/>
      <c r="X71" s="576"/>
      <c r="Y71" s="566">
        <v>1025</v>
      </c>
      <c r="Z71" s="570">
        <f t="shared" ref="Z71:AB72" si="112">A71</f>
        <v>252</v>
      </c>
      <c r="AA71" s="534" t="str">
        <f t="shared" si="112"/>
        <v>Marisha</v>
      </c>
      <c r="AB71" s="534" t="str">
        <f t="shared" si="112"/>
        <v>Eva</v>
      </c>
      <c r="AD71" s="577" t="str">
        <f t="shared" si="80"/>
        <v>Marisha</v>
      </c>
      <c r="AE71" s="578" t="str">
        <f t="shared" si="80"/>
        <v>Eva</v>
      </c>
      <c r="AF71" s="578" t="s">
        <v>897</v>
      </c>
      <c r="AG71" s="579">
        <f>1950*X71</f>
        <v>0</v>
      </c>
      <c r="AH71" s="580">
        <v>38195</v>
      </c>
      <c r="AI71" s="580">
        <f t="shared" si="40"/>
        <v>0</v>
      </c>
      <c r="AJ71" s="580">
        <f t="shared" si="8"/>
        <v>0</v>
      </c>
      <c r="AK71" s="855">
        <v>0</v>
      </c>
      <c r="AL71" s="855">
        <v>0</v>
      </c>
      <c r="AM71" s="855">
        <v>0</v>
      </c>
      <c r="AN71" s="855">
        <v>0</v>
      </c>
      <c r="AO71" s="855">
        <v>0</v>
      </c>
      <c r="AP71" s="855">
        <v>0</v>
      </c>
      <c r="AQ71" s="855">
        <v>0</v>
      </c>
      <c r="AR71" s="855">
        <v>0</v>
      </c>
      <c r="AS71" s="855">
        <v>0</v>
      </c>
      <c r="AT71" s="855">
        <v>0</v>
      </c>
      <c r="AU71" s="855">
        <v>0</v>
      </c>
      <c r="AV71" s="855">
        <v>0</v>
      </c>
      <c r="AW71" s="855">
        <v>0</v>
      </c>
      <c r="AX71" s="855">
        <v>0</v>
      </c>
      <c r="AY71" s="855">
        <v>0</v>
      </c>
      <c r="AZ71" s="855">
        <v>0</v>
      </c>
      <c r="BA71" s="855">
        <v>0</v>
      </c>
      <c r="BB71" s="855">
        <v>0</v>
      </c>
      <c r="BC71" s="855">
        <v>0</v>
      </c>
      <c r="BD71" s="855">
        <v>0</v>
      </c>
      <c r="BE71" s="855">
        <v>0</v>
      </c>
      <c r="BF71" s="855">
        <v>0</v>
      </c>
      <c r="BG71" s="855">
        <v>0</v>
      </c>
      <c r="BH71" s="855">
        <v>0</v>
      </c>
      <c r="BI71" s="855">
        <v>0</v>
      </c>
      <c r="BJ71" s="855">
        <v>0</v>
      </c>
      <c r="BK71" s="855">
        <v>0</v>
      </c>
      <c r="BL71" s="855">
        <v>0</v>
      </c>
      <c r="BM71" s="855">
        <v>0</v>
      </c>
      <c r="BN71" s="855">
        <v>0</v>
      </c>
      <c r="BO71" s="855">
        <v>0</v>
      </c>
      <c r="BP71" s="855"/>
      <c r="BQ71" s="855">
        <v>0</v>
      </c>
      <c r="BR71" s="855"/>
      <c r="BS71" s="855">
        <v>0</v>
      </c>
      <c r="BT71" s="855">
        <v>0</v>
      </c>
      <c r="BU71" s="855">
        <v>0</v>
      </c>
      <c r="BV71" s="581">
        <f t="shared" si="26"/>
        <v>0</v>
      </c>
      <c r="BW71" s="582">
        <f t="shared" si="27"/>
        <v>-38195</v>
      </c>
      <c r="BX71" s="583" t="e">
        <f t="shared" si="28"/>
        <v>#DIV/0!</v>
      </c>
    </row>
    <row r="72" spans="1:76" ht="15" hidden="1">
      <c r="A72" s="177">
        <v>249</v>
      </c>
      <c r="B72" s="564" t="s">
        <v>898</v>
      </c>
      <c r="C72" s="565" t="s">
        <v>899</v>
      </c>
      <c r="D72" s="177"/>
      <c r="E72" s="604"/>
      <c r="F72" s="603"/>
      <c r="G72" s="568"/>
      <c r="H72" s="568"/>
      <c r="I72" s="569"/>
      <c r="J72" s="570"/>
      <c r="K72" s="571"/>
      <c r="L72" s="571"/>
      <c r="M72" s="566"/>
      <c r="N72" s="568"/>
      <c r="O72" s="602"/>
      <c r="P72" s="568"/>
      <c r="Q72" s="572"/>
      <c r="R72" s="572"/>
      <c r="S72" s="573"/>
      <c r="T72" s="573"/>
      <c r="U72" s="574"/>
      <c r="V72" s="575"/>
      <c r="W72" s="744"/>
      <c r="X72" s="576"/>
      <c r="Y72" s="566">
        <v>1005</v>
      </c>
      <c r="Z72" s="570">
        <f t="shared" si="112"/>
        <v>249</v>
      </c>
      <c r="AA72" s="534" t="str">
        <f t="shared" si="112"/>
        <v>Marsalek</v>
      </c>
      <c r="AB72" s="534" t="str">
        <f t="shared" si="112"/>
        <v>Kerry</v>
      </c>
      <c r="AD72" s="577" t="str">
        <f t="shared" ref="AD72:AE76" si="113">AA72</f>
        <v>Marsalek</v>
      </c>
      <c r="AE72" s="578" t="str">
        <f t="shared" si="113"/>
        <v>Kerry</v>
      </c>
      <c r="AF72" s="578" t="s">
        <v>900</v>
      </c>
      <c r="AG72" s="579">
        <f>1950*X72</f>
        <v>0</v>
      </c>
      <c r="AH72" s="580">
        <v>75345</v>
      </c>
      <c r="AI72" s="580">
        <f t="shared" si="40"/>
        <v>0</v>
      </c>
      <c r="AJ72" s="580">
        <f t="shared" si="8"/>
        <v>0</v>
      </c>
      <c r="AK72" s="855">
        <v>0</v>
      </c>
      <c r="AL72" s="855">
        <v>0</v>
      </c>
      <c r="AM72" s="855">
        <v>0</v>
      </c>
      <c r="AN72" s="855">
        <v>0</v>
      </c>
      <c r="AO72" s="855">
        <v>0</v>
      </c>
      <c r="AP72" s="855">
        <v>0</v>
      </c>
      <c r="AQ72" s="855">
        <v>0</v>
      </c>
      <c r="AR72" s="855">
        <v>0</v>
      </c>
      <c r="AS72" s="855">
        <v>0</v>
      </c>
      <c r="AT72" s="855">
        <v>0</v>
      </c>
      <c r="AU72" s="855">
        <v>0</v>
      </c>
      <c r="AV72" s="855">
        <v>0</v>
      </c>
      <c r="AW72" s="855">
        <v>0</v>
      </c>
      <c r="AX72" s="855">
        <v>0</v>
      </c>
      <c r="AY72" s="855">
        <v>0</v>
      </c>
      <c r="AZ72" s="855">
        <v>0</v>
      </c>
      <c r="BA72" s="855">
        <v>0</v>
      </c>
      <c r="BB72" s="855">
        <v>0</v>
      </c>
      <c r="BC72" s="855">
        <v>0</v>
      </c>
      <c r="BD72" s="855">
        <v>0</v>
      </c>
      <c r="BE72" s="855">
        <v>0</v>
      </c>
      <c r="BF72" s="855">
        <v>0</v>
      </c>
      <c r="BG72" s="855">
        <v>0</v>
      </c>
      <c r="BH72" s="855">
        <v>0</v>
      </c>
      <c r="BI72" s="855">
        <v>0</v>
      </c>
      <c r="BJ72" s="855">
        <v>0</v>
      </c>
      <c r="BK72" s="855">
        <v>0</v>
      </c>
      <c r="BL72" s="855">
        <v>0</v>
      </c>
      <c r="BM72" s="855">
        <v>0</v>
      </c>
      <c r="BN72" s="855">
        <v>0</v>
      </c>
      <c r="BO72" s="855">
        <v>0</v>
      </c>
      <c r="BP72" s="855"/>
      <c r="BQ72" s="855">
        <v>0</v>
      </c>
      <c r="BR72" s="855"/>
      <c r="BS72" s="855">
        <v>0</v>
      </c>
      <c r="BT72" s="855">
        <v>0</v>
      </c>
      <c r="BU72" s="855">
        <v>0</v>
      </c>
      <c r="BV72" s="581">
        <f t="shared" si="26"/>
        <v>0</v>
      </c>
      <c r="BW72" s="582">
        <f t="shared" si="27"/>
        <v>-75345</v>
      </c>
      <c r="BX72" s="583" t="e">
        <f t="shared" si="28"/>
        <v>#DIV/0!</v>
      </c>
    </row>
    <row r="73" spans="1:76" ht="15" hidden="1">
      <c r="A73" s="177"/>
      <c r="B73" s="564" t="s">
        <v>901</v>
      </c>
      <c r="C73" s="565" t="s">
        <v>902</v>
      </c>
      <c r="D73" s="566" t="s">
        <v>761</v>
      </c>
      <c r="E73" s="567">
        <v>45580</v>
      </c>
      <c r="F73" s="568">
        <v>3.47</v>
      </c>
      <c r="G73" s="568">
        <v>3.47</v>
      </c>
      <c r="H73" s="568">
        <v>26</v>
      </c>
      <c r="I73" s="569">
        <f>AG73-J73</f>
        <v>1769.56</v>
      </c>
      <c r="J73" s="570">
        <f t="shared" ref="J73:J99" si="114">SUM(F73+G73)*H73</f>
        <v>180.44</v>
      </c>
      <c r="K73" s="571">
        <f t="shared" si="10"/>
        <v>135.32999999999998</v>
      </c>
      <c r="L73" s="571">
        <f t="shared" si="11"/>
        <v>45.11</v>
      </c>
      <c r="M73" s="568">
        <v>8810</v>
      </c>
      <c r="N73" s="568">
        <v>0.1716</v>
      </c>
      <c r="O73" s="602">
        <v>1</v>
      </c>
      <c r="P73" s="568"/>
      <c r="Q73" s="572">
        <f>(W73+O73)*1.03</f>
        <v>23.308900000000001</v>
      </c>
      <c r="R73" s="572">
        <f>Q73*1.03</f>
        <v>24.008167</v>
      </c>
      <c r="S73" s="573">
        <f>SUM(Q73*((AG73*0.75)-K73))</f>
        <v>30934.872813000002</v>
      </c>
      <c r="T73" s="573">
        <f>SUM(R73*((AG73*0.25)-L73))</f>
        <v>10620.972999129999</v>
      </c>
      <c r="U73" s="574">
        <f>S73+T73</f>
        <v>41555.845812129999</v>
      </c>
      <c r="V73" s="575">
        <f>Q73*(AG73*0.75)+R73*(AG73*0.25)</f>
        <v>45793.247662499998</v>
      </c>
      <c r="W73" s="744">
        <v>21.63</v>
      </c>
      <c r="X73" s="588">
        <v>1</v>
      </c>
      <c r="Y73" s="589"/>
      <c r="Z73" s="570"/>
      <c r="AA73" s="534" t="str">
        <f t="shared" ref="AA73:AA78" si="115">B73</f>
        <v>Martin</v>
      </c>
      <c r="AB73" s="534"/>
      <c r="AD73" s="577" t="str">
        <f t="shared" si="113"/>
        <v>Martin</v>
      </c>
      <c r="AE73" s="578" t="s">
        <v>903</v>
      </c>
      <c r="AF73" s="578" t="s">
        <v>801</v>
      </c>
      <c r="AG73" s="579">
        <v>1950</v>
      </c>
      <c r="AH73" s="580">
        <v>38568</v>
      </c>
      <c r="AI73" s="580">
        <f t="shared" si="40"/>
        <v>41555.848149630001</v>
      </c>
      <c r="AJ73" s="580">
        <f t="shared" si="8"/>
        <v>4237.4018503699999</v>
      </c>
      <c r="AK73" s="855">
        <v>0</v>
      </c>
      <c r="AL73" s="855">
        <v>0</v>
      </c>
      <c r="AM73" s="855">
        <v>0</v>
      </c>
      <c r="AN73" s="855">
        <v>0</v>
      </c>
      <c r="AO73" s="855">
        <v>0</v>
      </c>
      <c r="AP73" s="855">
        <v>0</v>
      </c>
      <c r="AQ73" s="855">
        <v>0</v>
      </c>
      <c r="AR73" s="855">
        <v>0</v>
      </c>
      <c r="AS73" s="855">
        <v>0</v>
      </c>
      <c r="AT73" s="855">
        <v>0</v>
      </c>
      <c r="AU73" s="855">
        <v>0</v>
      </c>
      <c r="AV73" s="855">
        <v>0</v>
      </c>
      <c r="AW73" s="855">
        <v>0</v>
      </c>
      <c r="AX73" s="855">
        <v>0</v>
      </c>
      <c r="AY73" s="855">
        <v>0</v>
      </c>
      <c r="AZ73" s="855">
        <v>0</v>
      </c>
      <c r="BA73" s="855">
        <v>0</v>
      </c>
      <c r="BB73" s="855">
        <v>0</v>
      </c>
      <c r="BC73" s="855">
        <v>0</v>
      </c>
      <c r="BD73" s="855">
        <v>0</v>
      </c>
      <c r="BE73" s="855">
        <v>0</v>
      </c>
      <c r="BF73" s="855">
        <v>0</v>
      </c>
      <c r="BG73" s="855">
        <v>0</v>
      </c>
      <c r="BH73" s="855">
        <v>0</v>
      </c>
      <c r="BI73" s="855">
        <v>0</v>
      </c>
      <c r="BJ73" s="855">
        <v>0</v>
      </c>
      <c r="BK73" s="855">
        <v>34802.870000000003</v>
      </c>
      <c r="BL73" s="855">
        <v>0</v>
      </c>
      <c r="BM73" s="855">
        <v>10990.38</v>
      </c>
      <c r="BN73" s="855">
        <v>0</v>
      </c>
      <c r="BO73" s="855">
        <v>0</v>
      </c>
      <c r="BP73" s="855"/>
      <c r="BQ73" s="855">
        <v>0</v>
      </c>
      <c r="BR73" s="855"/>
      <c r="BS73" s="855">
        <v>0</v>
      </c>
      <c r="BT73" s="855">
        <v>0</v>
      </c>
      <c r="BU73" s="855">
        <v>0</v>
      </c>
      <c r="BV73" s="581">
        <f t="shared" si="26"/>
        <v>45793.25</v>
      </c>
      <c r="BW73" s="582">
        <f t="shared" si="27"/>
        <v>2987.848149630001</v>
      </c>
      <c r="BX73" s="583">
        <f t="shared" si="28"/>
        <v>7.1899582914820237E-2</v>
      </c>
    </row>
    <row r="74" spans="1:76" ht="15" hidden="1">
      <c r="A74">
        <v>198</v>
      </c>
      <c r="B74" s="564" t="s">
        <v>904</v>
      </c>
      <c r="C74" s="565" t="s">
        <v>905</v>
      </c>
      <c r="D74" s="597" t="s">
        <v>761</v>
      </c>
      <c r="E74" s="598">
        <v>46244</v>
      </c>
      <c r="F74" s="568">
        <v>3.47</v>
      </c>
      <c r="G74" s="568">
        <v>3.47</v>
      </c>
      <c r="H74" s="568">
        <v>26</v>
      </c>
      <c r="I74" s="569">
        <f>AG74-J74</f>
        <v>1769.56</v>
      </c>
      <c r="J74" s="570">
        <f>SUM(F74+G74)*H74</f>
        <v>180.44</v>
      </c>
      <c r="K74" s="571">
        <f>J74*$K$22</f>
        <v>135.32999999999998</v>
      </c>
      <c r="L74" s="571">
        <f>J74*$L$22</f>
        <v>45.11</v>
      </c>
      <c r="M74" s="568">
        <v>8810</v>
      </c>
      <c r="N74" s="568">
        <v>0.1716</v>
      </c>
      <c r="O74" s="602">
        <v>1</v>
      </c>
      <c r="P74" s="568"/>
      <c r="Q74" s="572">
        <f>(W74+O74)*1.03</f>
        <v>22.66</v>
      </c>
      <c r="R74" s="572">
        <f>Q74*1.03</f>
        <v>23.3398</v>
      </c>
      <c r="S74" s="573">
        <f>SUM(Q74*((AG74*0.75)-K74))</f>
        <v>30073.672200000001</v>
      </c>
      <c r="T74" s="573">
        <f>SUM(R74*((AG74*0.25)-L74))</f>
        <v>10325.294121999999</v>
      </c>
      <c r="U74" s="574">
        <f>S74+T74</f>
        <v>40398.966322</v>
      </c>
      <c r="V74" s="575">
        <f>Q74*(AG74*0.75)+R74*(AG74*0.25)</f>
        <v>44518.402499999997</v>
      </c>
      <c r="W74" s="747">
        <v>21</v>
      </c>
      <c r="X74" s="576">
        <v>1</v>
      </c>
      <c r="Y74" s="597">
        <v>1039</v>
      </c>
      <c r="Z74" s="570">
        <f>A74</f>
        <v>198</v>
      </c>
      <c r="AA74" s="512" t="str">
        <f t="shared" si="115"/>
        <v>Martinez</v>
      </c>
      <c r="AB74" s="512" t="str">
        <f>C74</f>
        <v>Edwin</v>
      </c>
      <c r="AD74" s="577" t="str">
        <f>AA74</f>
        <v>Martinez</v>
      </c>
      <c r="AE74" s="578" t="str">
        <f>AB74</f>
        <v>Edwin</v>
      </c>
      <c r="AF74" s="578" t="s">
        <v>801</v>
      </c>
      <c r="AG74" s="579">
        <f>1950*X74</f>
        <v>1950</v>
      </c>
      <c r="AH74" s="580">
        <v>0</v>
      </c>
      <c r="AI74" s="580">
        <f t="shared" ref="AI74" si="116">SUM(AK74:BU74)-AJ74</f>
        <v>39102.323821999991</v>
      </c>
      <c r="AJ74" s="580">
        <f>(Q74*K74)+(R74*L74)</f>
        <v>4119.4361779999999</v>
      </c>
      <c r="AK74" s="855">
        <v>0</v>
      </c>
      <c r="AL74" s="855">
        <v>0</v>
      </c>
      <c r="AM74" s="855">
        <v>25068.62</v>
      </c>
      <c r="AN74" s="855">
        <v>0</v>
      </c>
      <c r="AO74" s="855">
        <v>0</v>
      </c>
      <c r="AP74" s="855">
        <v>0</v>
      </c>
      <c r="AQ74" s="855">
        <v>0</v>
      </c>
      <c r="AR74" s="855">
        <v>0</v>
      </c>
      <c r="AS74" s="855">
        <v>0</v>
      </c>
      <c r="AT74" s="855">
        <v>0</v>
      </c>
      <c r="AU74" s="855">
        <v>0</v>
      </c>
      <c r="AV74" s="855">
        <v>0</v>
      </c>
      <c r="AW74" s="855">
        <v>0</v>
      </c>
      <c r="AX74" s="855">
        <v>0</v>
      </c>
      <c r="AY74" s="855">
        <v>0</v>
      </c>
      <c r="AZ74" s="855">
        <v>0</v>
      </c>
      <c r="BA74" s="855">
        <v>0</v>
      </c>
      <c r="BB74" s="855">
        <v>0</v>
      </c>
      <c r="BC74" s="855">
        <v>0</v>
      </c>
      <c r="BD74" s="855">
        <v>0</v>
      </c>
      <c r="BE74" s="855">
        <v>0</v>
      </c>
      <c r="BF74" s="855">
        <v>0</v>
      </c>
      <c r="BG74" s="855">
        <v>0</v>
      </c>
      <c r="BH74" s="855">
        <v>0</v>
      </c>
      <c r="BI74" s="855">
        <v>0</v>
      </c>
      <c r="BJ74" s="855">
        <v>18153.14</v>
      </c>
      <c r="BK74" s="855">
        <v>0</v>
      </c>
      <c r="BL74" s="855">
        <v>0</v>
      </c>
      <c r="BM74" s="855">
        <v>0</v>
      </c>
      <c r="BN74" s="855">
        <v>0</v>
      </c>
      <c r="BO74" s="855">
        <v>0</v>
      </c>
      <c r="BP74" s="855"/>
      <c r="BQ74" s="855">
        <v>0</v>
      </c>
      <c r="BR74" s="855"/>
      <c r="BS74" s="855">
        <v>0</v>
      </c>
      <c r="BT74" s="855">
        <v>0</v>
      </c>
      <c r="BU74" s="855">
        <v>0</v>
      </c>
      <c r="BV74" s="581">
        <f t="shared" si="26"/>
        <v>43221.759999999995</v>
      </c>
      <c r="BW74" s="582">
        <f t="shared" si="27"/>
        <v>39102.323821999991</v>
      </c>
      <c r="BX74" s="583">
        <f t="shared" si="28"/>
        <v>1</v>
      </c>
    </row>
    <row r="75" spans="1:76" ht="15" hidden="1">
      <c r="A75" s="177">
        <v>75</v>
      </c>
      <c r="B75" s="564" t="s">
        <v>906</v>
      </c>
      <c r="C75" s="565" t="s">
        <v>907</v>
      </c>
      <c r="D75" s="566" t="s">
        <v>830</v>
      </c>
      <c r="E75" s="567">
        <v>38462</v>
      </c>
      <c r="F75" s="568">
        <v>6.92</v>
      </c>
      <c r="G75" s="568">
        <v>3.47</v>
      </c>
      <c r="H75" s="568">
        <v>26</v>
      </c>
      <c r="I75" s="569">
        <f>AG75-J75</f>
        <v>1679.8600000000001</v>
      </c>
      <c r="J75" s="570">
        <f t="shared" si="114"/>
        <v>270.14</v>
      </c>
      <c r="K75" s="571">
        <f t="shared" si="10"/>
        <v>202.60499999999999</v>
      </c>
      <c r="L75" s="571">
        <f t="shared" si="11"/>
        <v>67.534999999999997</v>
      </c>
      <c r="M75" s="568">
        <v>8810</v>
      </c>
      <c r="N75" s="568">
        <v>0.1716</v>
      </c>
      <c r="O75" s="576">
        <v>0.06</v>
      </c>
      <c r="P75" s="568"/>
      <c r="Q75" s="572">
        <f>(W75*1.06)*1.03</f>
        <v>65.224132000000012</v>
      </c>
      <c r="R75" s="572">
        <f>Q75*1.03</f>
        <v>67.180855960000017</v>
      </c>
      <c r="S75" s="573">
        <f>SUM(Q75*((AG75*0.75)-K75))</f>
        <v>82175.557786140009</v>
      </c>
      <c r="T75" s="573">
        <f>SUM(R75*((AG75*0.25)-L75))</f>
        <v>28213.60817324141</v>
      </c>
      <c r="U75" s="574">
        <f t="shared" ref="U75:U99" si="117">S75+T75</f>
        <v>110389.16595938141</v>
      </c>
      <c r="V75" s="575">
        <f>Q75*(AG75*0.75)+R75*(AG75*0.25)</f>
        <v>128140.96033050003</v>
      </c>
      <c r="W75" s="744">
        <v>59.74</v>
      </c>
      <c r="X75" s="576">
        <v>1</v>
      </c>
      <c r="Y75" s="566">
        <v>1005</v>
      </c>
      <c r="Z75" s="570">
        <f>A75</f>
        <v>75</v>
      </c>
      <c r="AA75" s="534" t="str">
        <f t="shared" si="115"/>
        <v>Martino</v>
      </c>
      <c r="AB75" s="534" t="str">
        <f>C75</f>
        <v>Tawnya</v>
      </c>
      <c r="AD75" s="577" t="str">
        <f t="shared" si="113"/>
        <v>Martino</v>
      </c>
      <c r="AE75" s="578" t="str">
        <f t="shared" si="113"/>
        <v>Tawnya</v>
      </c>
      <c r="AF75" s="578" t="s">
        <v>908</v>
      </c>
      <c r="AG75" s="579">
        <f>1950*X75</f>
        <v>1950</v>
      </c>
      <c r="AH75" s="580">
        <v>97395</v>
      </c>
      <c r="AI75" s="580">
        <f t="shared" si="40"/>
        <v>110185.58562888138</v>
      </c>
      <c r="AJ75" s="580">
        <f t="shared" si="8"/>
        <v>17751.794371118602</v>
      </c>
      <c r="AK75" s="855">
        <v>0</v>
      </c>
      <c r="AL75" s="855">
        <v>0</v>
      </c>
      <c r="AM75" s="855">
        <v>3838.12</v>
      </c>
      <c r="AN75" s="855">
        <v>0</v>
      </c>
      <c r="AO75" s="855">
        <v>0</v>
      </c>
      <c r="AP75" s="855">
        <v>3838.12</v>
      </c>
      <c r="AQ75" s="855">
        <v>1279.3699999999999</v>
      </c>
      <c r="AR75" s="855">
        <v>0</v>
      </c>
      <c r="AS75" s="855">
        <v>0</v>
      </c>
      <c r="AT75" s="855">
        <v>0</v>
      </c>
      <c r="AU75" s="855">
        <v>0</v>
      </c>
      <c r="AV75" s="855">
        <v>0</v>
      </c>
      <c r="AW75" s="855">
        <v>0</v>
      </c>
      <c r="AX75" s="855">
        <v>0</v>
      </c>
      <c r="AY75" s="855">
        <v>0</v>
      </c>
      <c r="AZ75" s="855">
        <v>0</v>
      </c>
      <c r="BA75" s="855">
        <v>0</v>
      </c>
      <c r="BB75" s="855">
        <v>0</v>
      </c>
      <c r="BC75" s="855">
        <v>0</v>
      </c>
      <c r="BD75" s="855">
        <v>12793.74</v>
      </c>
      <c r="BE75" s="855">
        <v>11514.36</v>
      </c>
      <c r="BF75" s="855">
        <v>0</v>
      </c>
      <c r="BG75" s="855">
        <v>0</v>
      </c>
      <c r="BH75" s="855">
        <v>10234.99</v>
      </c>
      <c r="BI75" s="855">
        <v>12793.74</v>
      </c>
      <c r="BJ75" s="855">
        <v>0</v>
      </c>
      <c r="BK75" s="855">
        <v>1279.3699999999999</v>
      </c>
      <c r="BL75" s="855">
        <v>0</v>
      </c>
      <c r="BM75" s="855">
        <v>0</v>
      </c>
      <c r="BN75" s="855">
        <v>12793.74</v>
      </c>
      <c r="BO75" s="855">
        <v>0</v>
      </c>
      <c r="BP75" s="855"/>
      <c r="BQ75" s="855">
        <v>0</v>
      </c>
      <c r="BR75" s="855"/>
      <c r="BS75" s="855">
        <v>25587.48</v>
      </c>
      <c r="BT75" s="855">
        <f>25587.48+2558.75</f>
        <v>28146.23</v>
      </c>
      <c r="BU75" s="855">
        <f>2558.75+1279.37</f>
        <v>3838.12</v>
      </c>
      <c r="BV75" s="581">
        <f t="shared" si="26"/>
        <v>124099.26</v>
      </c>
      <c r="BW75" s="582">
        <f t="shared" si="27"/>
        <v>12790.585628881381</v>
      </c>
      <c r="BX75" s="583">
        <f t="shared" si="28"/>
        <v>0.11608220400045477</v>
      </c>
    </row>
    <row r="76" spans="1:76" ht="15" hidden="1">
      <c r="A76" s="177">
        <v>95</v>
      </c>
      <c r="B76" s="564" t="s">
        <v>909</v>
      </c>
      <c r="C76" s="565" t="s">
        <v>910</v>
      </c>
      <c r="D76" s="592" t="s">
        <v>769</v>
      </c>
      <c r="E76" s="605">
        <v>39713</v>
      </c>
      <c r="F76" s="592">
        <v>6.92</v>
      </c>
      <c r="G76" s="592">
        <v>3.47</v>
      </c>
      <c r="H76" s="592">
        <v>26</v>
      </c>
      <c r="I76" s="569">
        <f>AG76-J76</f>
        <v>1679.8600000000001</v>
      </c>
      <c r="J76" s="570">
        <f t="shared" si="114"/>
        <v>270.14</v>
      </c>
      <c r="K76" s="571">
        <f t="shared" si="10"/>
        <v>202.60499999999999</v>
      </c>
      <c r="L76" s="571">
        <f t="shared" si="11"/>
        <v>67.534999999999997</v>
      </c>
      <c r="M76" s="592">
        <v>8871</v>
      </c>
      <c r="N76" s="592">
        <v>0.05</v>
      </c>
      <c r="O76" s="602"/>
      <c r="P76" s="602">
        <v>0</v>
      </c>
      <c r="Q76" s="572">
        <f>W76</f>
        <v>31.19</v>
      </c>
      <c r="R76" s="572">
        <f>W76</f>
        <v>31.19</v>
      </c>
      <c r="S76" s="573">
        <f>SUM(Q76*((AG76*0.75)-K76))</f>
        <v>39296.125050000002</v>
      </c>
      <c r="T76" s="573">
        <f>SUM(R76*((AG76*0.25)-L76))</f>
        <v>13098.708350000001</v>
      </c>
      <c r="U76" s="574">
        <f t="shared" si="117"/>
        <v>52394.833400000003</v>
      </c>
      <c r="V76" s="575">
        <f>Q76*(AG76*0.75)+R76*(AG76*0.25)</f>
        <v>60820.5</v>
      </c>
      <c r="W76" s="744">
        <v>31.19</v>
      </c>
      <c r="X76" s="593">
        <v>1</v>
      </c>
      <c r="Y76" s="566">
        <v>1035</v>
      </c>
      <c r="Z76" s="570">
        <f>A76</f>
        <v>95</v>
      </c>
      <c r="AA76" s="534" t="str">
        <f t="shared" si="115"/>
        <v>Maulorico</v>
      </c>
      <c r="AB76" s="534" t="str">
        <f>C76</f>
        <v>Debra</v>
      </c>
      <c r="AC76" s="5" t="s">
        <v>863</v>
      </c>
      <c r="AD76" s="577" t="str">
        <f t="shared" si="113"/>
        <v>Maulorico</v>
      </c>
      <c r="AE76" s="578" t="str">
        <f t="shared" si="113"/>
        <v>Debra</v>
      </c>
      <c r="AF76" s="578" t="s">
        <v>911</v>
      </c>
      <c r="AG76" s="579">
        <f>1950*X76</f>
        <v>1950</v>
      </c>
      <c r="AH76" s="580">
        <v>52395</v>
      </c>
      <c r="AI76" s="580">
        <f t="shared" si="40"/>
        <v>52394.833400000003</v>
      </c>
      <c r="AJ76" s="580">
        <f t="shared" si="8"/>
        <v>8425.6666000000005</v>
      </c>
      <c r="AK76" s="855">
        <v>0</v>
      </c>
      <c r="AL76" s="855">
        <v>0</v>
      </c>
      <c r="AM76" s="855">
        <v>0</v>
      </c>
      <c r="AN76" s="855">
        <v>0</v>
      </c>
      <c r="AO76" s="855">
        <v>0</v>
      </c>
      <c r="AP76" s="855">
        <v>0</v>
      </c>
      <c r="AQ76" s="855">
        <v>0</v>
      </c>
      <c r="AR76" s="855">
        <v>0</v>
      </c>
      <c r="AS76" s="855">
        <v>0</v>
      </c>
      <c r="AT76" s="855">
        <v>0</v>
      </c>
      <c r="AU76" s="855">
        <v>0</v>
      </c>
      <c r="AV76" s="855">
        <v>0</v>
      </c>
      <c r="AW76" s="855">
        <v>0</v>
      </c>
      <c r="AX76" s="855">
        <v>0</v>
      </c>
      <c r="AY76" s="855">
        <v>0</v>
      </c>
      <c r="AZ76" s="855">
        <v>0</v>
      </c>
      <c r="BA76" s="855">
        <v>0</v>
      </c>
      <c r="BB76" s="855">
        <v>0</v>
      </c>
      <c r="BC76" s="855">
        <v>0</v>
      </c>
      <c r="BD76" s="855">
        <v>0</v>
      </c>
      <c r="BE76" s="855">
        <v>0</v>
      </c>
      <c r="BF76" s="855">
        <v>0</v>
      </c>
      <c r="BG76" s="855">
        <v>0</v>
      </c>
      <c r="BH76" s="855">
        <v>0</v>
      </c>
      <c r="BI76" s="855">
        <v>0</v>
      </c>
      <c r="BJ76" s="855">
        <v>0</v>
      </c>
      <c r="BK76" s="855">
        <v>0</v>
      </c>
      <c r="BL76" s="855">
        <v>0</v>
      </c>
      <c r="BM76" s="855">
        <v>0</v>
      </c>
      <c r="BN76" s="855">
        <v>0</v>
      </c>
      <c r="BO76" s="855">
        <v>0</v>
      </c>
      <c r="BP76" s="855"/>
      <c r="BQ76" s="855">
        <v>60820.5</v>
      </c>
      <c r="BR76" s="855"/>
      <c r="BS76" s="855">
        <v>0</v>
      </c>
      <c r="BT76" s="855">
        <v>0</v>
      </c>
      <c r="BU76" s="855">
        <v>0</v>
      </c>
      <c r="BV76" s="581">
        <f t="shared" si="26"/>
        <v>60820.5</v>
      </c>
      <c r="BW76" s="582">
        <f t="shared" si="27"/>
        <v>-0.1665999999968335</v>
      </c>
      <c r="BX76" s="583">
        <f t="shared" si="28"/>
        <v>-3.1797028292590568E-6</v>
      </c>
    </row>
    <row r="77" spans="1:76" ht="15" hidden="1">
      <c r="A77" s="591"/>
      <c r="B77" s="585" t="s">
        <v>912</v>
      </c>
      <c r="C77" s="586" t="s">
        <v>913</v>
      </c>
      <c r="D77" s="566" t="s">
        <v>914</v>
      </c>
      <c r="E77" s="567">
        <v>44515</v>
      </c>
      <c r="F77" s="568">
        <v>5.19</v>
      </c>
      <c r="G77" s="568">
        <v>3.47</v>
      </c>
      <c r="H77" s="568">
        <v>26</v>
      </c>
      <c r="I77" s="569">
        <f>AG77-J77</f>
        <v>1724.84</v>
      </c>
      <c r="J77" s="570">
        <f t="shared" si="114"/>
        <v>225.16</v>
      </c>
      <c r="K77" s="571">
        <f t="shared" si="10"/>
        <v>168.87</v>
      </c>
      <c r="L77" s="571">
        <f t="shared" si="11"/>
        <v>56.29</v>
      </c>
      <c r="M77" s="566">
        <v>8810</v>
      </c>
      <c r="N77" s="568">
        <v>0.1716</v>
      </c>
      <c r="O77" s="602"/>
      <c r="P77" s="568"/>
      <c r="Q77" s="572">
        <f>W77*1.03+O77</f>
        <v>30.632199999999997</v>
      </c>
      <c r="R77" s="572">
        <f>Q77*1.03</f>
        <v>31.551165999999998</v>
      </c>
      <c r="S77" s="573">
        <f>SUM(Q77*((AG77*0.75)-K77))</f>
        <v>39626.732885999998</v>
      </c>
      <c r="T77" s="573">
        <f>SUM(R77*((AG77*0.25)-L77))</f>
        <v>13605.178290859998</v>
      </c>
      <c r="U77" s="574">
        <f t="shared" si="117"/>
        <v>53231.911176859998</v>
      </c>
      <c r="V77" s="575">
        <f>Q77*(AG77*0.75)+R77*(AG77*0.25)</f>
        <v>60180.785924999996</v>
      </c>
      <c r="W77" s="744">
        <v>29.74</v>
      </c>
      <c r="X77" s="576">
        <v>1</v>
      </c>
      <c r="Y77" s="566">
        <v>1005</v>
      </c>
      <c r="Z77" s="570">
        <f>A77</f>
        <v>0</v>
      </c>
      <c r="AA77" s="534" t="str">
        <f t="shared" si="115"/>
        <v>Miller</v>
      </c>
      <c r="AB77" s="534" t="str">
        <f>C77</f>
        <v>Amanda</v>
      </c>
      <c r="AD77" s="577" t="str">
        <f>AA77</f>
        <v>Miller</v>
      </c>
      <c r="AE77" s="578" t="str">
        <f>AB77</f>
        <v>Amanda</v>
      </c>
      <c r="AF77" s="578" t="s">
        <v>915</v>
      </c>
      <c r="AG77" s="579">
        <f>1950*X77</f>
        <v>1950</v>
      </c>
      <c r="AH77" s="580">
        <v>41800</v>
      </c>
      <c r="AI77" s="580">
        <f t="shared" si="40"/>
        <v>53239.175251860004</v>
      </c>
      <c r="AJ77" s="580">
        <f t="shared" si="8"/>
        <v>6948.8747481399996</v>
      </c>
      <c r="AK77" s="855">
        <v>0</v>
      </c>
      <c r="AL77" s="855">
        <v>0</v>
      </c>
      <c r="AM77" s="855">
        <v>48150.44</v>
      </c>
      <c r="AN77" s="855">
        <v>0</v>
      </c>
      <c r="AO77" s="855">
        <v>0</v>
      </c>
      <c r="AP77" s="855">
        <v>0</v>
      </c>
      <c r="AQ77" s="855">
        <v>0</v>
      </c>
      <c r="AR77" s="855">
        <v>0</v>
      </c>
      <c r="AS77" s="855">
        <v>0</v>
      </c>
      <c r="AT77" s="855">
        <v>0</v>
      </c>
      <c r="AU77" s="855">
        <v>0</v>
      </c>
      <c r="AV77" s="855">
        <v>0</v>
      </c>
      <c r="AW77" s="855">
        <v>0</v>
      </c>
      <c r="AX77" s="855">
        <v>0</v>
      </c>
      <c r="AY77" s="855">
        <v>0</v>
      </c>
      <c r="AZ77" s="855">
        <v>0</v>
      </c>
      <c r="BA77" s="855">
        <v>0</v>
      </c>
      <c r="BB77" s="855">
        <v>0</v>
      </c>
      <c r="BC77" s="855">
        <v>0</v>
      </c>
      <c r="BD77" s="855">
        <v>0</v>
      </c>
      <c r="BE77" s="855">
        <v>0</v>
      </c>
      <c r="BF77" s="855">
        <v>0</v>
      </c>
      <c r="BG77" s="855">
        <v>0</v>
      </c>
      <c r="BH77" s="855">
        <v>0</v>
      </c>
      <c r="BI77" s="855">
        <v>0</v>
      </c>
      <c r="BJ77" s="855">
        <v>12037.61</v>
      </c>
      <c r="BK77" s="855">
        <v>0</v>
      </c>
      <c r="BL77" s="855">
        <v>0</v>
      </c>
      <c r="BM77" s="855">
        <v>0</v>
      </c>
      <c r="BN77" s="855">
        <v>0</v>
      </c>
      <c r="BO77" s="855">
        <v>0</v>
      </c>
      <c r="BP77" s="855"/>
      <c r="BQ77" s="855">
        <v>0</v>
      </c>
      <c r="BR77" s="855"/>
      <c r="BS77" s="855">
        <v>0</v>
      </c>
      <c r="BT77" s="855">
        <v>0</v>
      </c>
      <c r="BU77" s="855">
        <v>0</v>
      </c>
      <c r="BV77" s="581">
        <f t="shared" si="26"/>
        <v>60188.05</v>
      </c>
      <c r="BW77" s="582">
        <f t="shared" si="27"/>
        <v>11439.175251860004</v>
      </c>
      <c r="BX77" s="583">
        <f t="shared" si="28"/>
        <v>0.21486387040641386</v>
      </c>
    </row>
    <row r="78" spans="1:76" ht="15" hidden="1">
      <c r="A78" s="591"/>
      <c r="B78" s="585" t="s">
        <v>916</v>
      </c>
      <c r="C78" s="586" t="s">
        <v>917</v>
      </c>
      <c r="D78" s="566"/>
      <c r="E78" s="567"/>
      <c r="F78" s="568"/>
      <c r="G78" s="568"/>
      <c r="H78" s="568"/>
      <c r="I78" s="569"/>
      <c r="J78" s="570"/>
      <c r="K78" s="571"/>
      <c r="L78" s="571"/>
      <c r="M78" s="566"/>
      <c r="N78" s="568"/>
      <c r="O78" s="602"/>
      <c r="P78" s="568"/>
      <c r="Q78" s="572"/>
      <c r="R78" s="572"/>
      <c r="S78" s="573"/>
      <c r="T78" s="573"/>
      <c r="U78" s="574"/>
      <c r="V78" s="575"/>
      <c r="W78" s="744"/>
      <c r="X78" s="576"/>
      <c r="Y78" s="566"/>
      <c r="Z78" s="570"/>
      <c r="AA78" s="534" t="str">
        <f t="shared" si="115"/>
        <v>Morales</v>
      </c>
      <c r="AB78" s="534" t="s">
        <v>918</v>
      </c>
      <c r="AD78" s="577" t="str">
        <f>AA78</f>
        <v>Morales</v>
      </c>
      <c r="AE78" s="578" t="s">
        <v>918</v>
      </c>
      <c r="AF78" s="578" t="s">
        <v>919</v>
      </c>
      <c r="AG78" s="579">
        <v>1950</v>
      </c>
      <c r="AH78" s="580">
        <v>56504</v>
      </c>
      <c r="AI78" s="580">
        <f t="shared" si="40"/>
        <v>0</v>
      </c>
      <c r="AJ78" s="580">
        <f t="shared" si="8"/>
        <v>0</v>
      </c>
      <c r="AK78" s="855">
        <v>0</v>
      </c>
      <c r="AL78" s="855">
        <v>0</v>
      </c>
      <c r="AM78" s="855">
        <v>0</v>
      </c>
      <c r="AN78" s="855">
        <v>0</v>
      </c>
      <c r="AO78" s="855">
        <v>0</v>
      </c>
      <c r="AP78" s="855">
        <v>0</v>
      </c>
      <c r="AQ78" s="855">
        <v>0</v>
      </c>
      <c r="AR78" s="855">
        <v>0</v>
      </c>
      <c r="AS78" s="855">
        <v>0</v>
      </c>
      <c r="AT78" s="855">
        <v>0</v>
      </c>
      <c r="AU78" s="855">
        <v>0</v>
      </c>
      <c r="AV78" s="855">
        <v>0</v>
      </c>
      <c r="AW78" s="855">
        <v>0</v>
      </c>
      <c r="AX78" s="855">
        <v>0</v>
      </c>
      <c r="AY78" s="855">
        <v>0</v>
      </c>
      <c r="AZ78" s="855">
        <v>0</v>
      </c>
      <c r="BA78" s="855">
        <v>0</v>
      </c>
      <c r="BB78" s="855">
        <v>0</v>
      </c>
      <c r="BC78" s="855">
        <v>0</v>
      </c>
      <c r="BD78" s="855">
        <v>0</v>
      </c>
      <c r="BE78" s="855">
        <v>0</v>
      </c>
      <c r="BF78" s="855">
        <v>0</v>
      </c>
      <c r="BG78" s="855">
        <v>0</v>
      </c>
      <c r="BH78" s="855">
        <v>0</v>
      </c>
      <c r="BI78" s="855">
        <v>0</v>
      </c>
      <c r="BJ78" s="855">
        <v>0</v>
      </c>
      <c r="BK78" s="855">
        <v>0</v>
      </c>
      <c r="BL78" s="855">
        <v>0</v>
      </c>
      <c r="BM78" s="855">
        <v>0</v>
      </c>
      <c r="BN78" s="855">
        <v>0</v>
      </c>
      <c r="BO78" s="855">
        <v>0</v>
      </c>
      <c r="BP78" s="855"/>
      <c r="BQ78" s="855">
        <v>0</v>
      </c>
      <c r="BR78" s="855"/>
      <c r="BS78" s="855">
        <v>0</v>
      </c>
      <c r="BT78" s="855">
        <v>0</v>
      </c>
      <c r="BU78" s="855">
        <v>0</v>
      </c>
      <c r="BV78" s="581">
        <f t="shared" si="26"/>
        <v>0</v>
      </c>
      <c r="BW78" s="582">
        <f t="shared" si="27"/>
        <v>-56504</v>
      </c>
      <c r="BX78" s="583" t="e">
        <f t="shared" si="28"/>
        <v>#DIV/0!</v>
      </c>
    </row>
    <row r="79" spans="1:76" ht="15" hidden="1">
      <c r="A79" s="177"/>
      <c r="B79" s="564" t="s">
        <v>920</v>
      </c>
      <c r="C79" s="565" t="s">
        <v>921</v>
      </c>
      <c r="D79" s="566"/>
      <c r="E79" s="567">
        <v>45467</v>
      </c>
      <c r="F79" s="568">
        <v>3.47</v>
      </c>
      <c r="G79" s="568">
        <v>3.47</v>
      </c>
      <c r="H79" s="568">
        <v>26</v>
      </c>
      <c r="I79" s="569">
        <f>AG79-J79</f>
        <v>1769.56</v>
      </c>
      <c r="J79" s="570">
        <f t="shared" si="114"/>
        <v>180.44</v>
      </c>
      <c r="K79" s="571">
        <f t="shared" si="10"/>
        <v>135.32999999999998</v>
      </c>
      <c r="L79" s="571">
        <f t="shared" si="11"/>
        <v>45.11</v>
      </c>
      <c r="M79" s="566">
        <v>8742</v>
      </c>
      <c r="N79" s="568">
        <v>0.35399999999999998</v>
      </c>
      <c r="O79" s="602"/>
      <c r="P79" s="568"/>
      <c r="Q79" s="572">
        <f t="shared" ref="Q79:Q82" si="118">W79*1.03</f>
        <v>22.062600000000003</v>
      </c>
      <c r="R79" s="572">
        <f>Q79*1.03</f>
        <v>22.724478000000005</v>
      </c>
      <c r="S79" s="573">
        <f>SUM(Q79*((AG79*0.75)-K79))</f>
        <v>29280.820842000005</v>
      </c>
      <c r="T79" s="573">
        <f>SUM(R79*((AG79*0.25)-L79))</f>
        <v>10053.081822420001</v>
      </c>
      <c r="U79" s="574">
        <f t="shared" si="117"/>
        <v>39333.902664420006</v>
      </c>
      <c r="V79" s="575">
        <f>Q79*(AG79*0.75)+R79*(AG79*0.25)</f>
        <v>43344.735525000011</v>
      </c>
      <c r="W79" s="744">
        <v>21.42</v>
      </c>
      <c r="X79" s="576">
        <v>1</v>
      </c>
      <c r="Y79" s="566">
        <v>1039</v>
      </c>
      <c r="Z79" s="570">
        <f t="shared" ref="Z79:AB80" si="119">A79</f>
        <v>0</v>
      </c>
      <c r="AA79" s="534" t="e" cm="1">
        <f t="array" aca="1" ref="AA79" ca="1">B79 (Sodano)</f>
        <v>#NAME?</v>
      </c>
      <c r="AB79" s="534" t="str">
        <f t="shared" si="119"/>
        <v>Remedios</v>
      </c>
      <c r="AC79" s="590"/>
      <c r="AD79" s="577" t="s">
        <v>922</v>
      </c>
      <c r="AE79" s="578" t="s">
        <v>923</v>
      </c>
      <c r="AF79" s="578" t="s">
        <v>924</v>
      </c>
      <c r="AG79" s="579">
        <f>1950*X79</f>
        <v>1950</v>
      </c>
      <c r="AH79" s="580">
        <v>38195</v>
      </c>
      <c r="AI79" s="580">
        <f t="shared" si="40"/>
        <v>39333.90713942</v>
      </c>
      <c r="AJ79" s="580">
        <f t="shared" si="8"/>
        <v>4010.8328605800007</v>
      </c>
      <c r="AK79" s="855">
        <v>0</v>
      </c>
      <c r="AL79" s="855">
        <v>0</v>
      </c>
      <c r="AM79" s="855">
        <v>0</v>
      </c>
      <c r="AN79" s="855">
        <v>0</v>
      </c>
      <c r="AO79" s="855">
        <v>0</v>
      </c>
      <c r="AP79" s="855">
        <v>0</v>
      </c>
      <c r="AQ79" s="855">
        <v>0</v>
      </c>
      <c r="AR79" s="855">
        <v>0</v>
      </c>
      <c r="AS79" s="855">
        <v>0</v>
      </c>
      <c r="AT79" s="855">
        <v>0</v>
      </c>
      <c r="AU79" s="855">
        <v>0</v>
      </c>
      <c r="AV79" s="855">
        <v>0</v>
      </c>
      <c r="AW79" s="855">
        <v>0</v>
      </c>
      <c r="AX79" s="855">
        <v>0</v>
      </c>
      <c r="AY79" s="855">
        <v>0</v>
      </c>
      <c r="AZ79" s="855">
        <v>0</v>
      </c>
      <c r="BA79" s="855">
        <v>0</v>
      </c>
      <c r="BB79" s="855">
        <v>0</v>
      </c>
      <c r="BC79" s="855">
        <v>0</v>
      </c>
      <c r="BD79" s="855">
        <v>0</v>
      </c>
      <c r="BE79" s="855">
        <v>0</v>
      </c>
      <c r="BF79" s="855">
        <v>0</v>
      </c>
      <c r="BG79" s="855">
        <v>0</v>
      </c>
      <c r="BH79" s="855">
        <v>0</v>
      </c>
      <c r="BI79" s="855">
        <v>0</v>
      </c>
      <c r="BJ79" s="855">
        <v>0</v>
      </c>
      <c r="BK79" s="855">
        <v>0</v>
      </c>
      <c r="BL79" s="855">
        <v>0</v>
      </c>
      <c r="BM79" s="855">
        <v>0</v>
      </c>
      <c r="BN79" s="855">
        <v>0</v>
      </c>
      <c r="BO79" s="855">
        <v>0</v>
      </c>
      <c r="BP79" s="855"/>
      <c r="BQ79" s="855">
        <v>0</v>
      </c>
      <c r="BR79" s="855"/>
      <c r="BS79" s="855">
        <v>0</v>
      </c>
      <c r="BT79" s="855">
        <v>43344.74</v>
      </c>
      <c r="BU79" s="855">
        <v>0</v>
      </c>
      <c r="BV79" s="581">
        <f t="shared" si="26"/>
        <v>43344.74</v>
      </c>
      <c r="BW79" s="582">
        <f t="shared" si="27"/>
        <v>1138.90713942</v>
      </c>
      <c r="BX79" s="583">
        <f t="shared" si="28"/>
        <v>2.8954843854771761E-2</v>
      </c>
    </row>
    <row r="80" spans="1:76" ht="15" hidden="1">
      <c r="A80" s="177">
        <v>227</v>
      </c>
      <c r="B80" s="564" t="s">
        <v>925</v>
      </c>
      <c r="C80" s="565" t="s">
        <v>926</v>
      </c>
      <c r="D80" s="566" t="s">
        <v>761</v>
      </c>
      <c r="E80" s="567">
        <v>44900</v>
      </c>
      <c r="F80" s="568">
        <v>5.19</v>
      </c>
      <c r="G80" s="568">
        <v>3.47</v>
      </c>
      <c r="H80" s="568">
        <v>26</v>
      </c>
      <c r="I80" s="569">
        <f>AG80-J80</f>
        <v>1724.84</v>
      </c>
      <c r="J80" s="570">
        <f t="shared" si="114"/>
        <v>225.16</v>
      </c>
      <c r="K80" s="571">
        <f t="shared" si="10"/>
        <v>168.87</v>
      </c>
      <c r="L80" s="571">
        <f t="shared" si="11"/>
        <v>56.29</v>
      </c>
      <c r="M80" s="568">
        <v>8742</v>
      </c>
      <c r="N80" s="568">
        <v>0.35399999999999998</v>
      </c>
      <c r="O80" s="602"/>
      <c r="P80" s="568"/>
      <c r="Q80" s="572">
        <f t="shared" si="118"/>
        <v>29.931799999999999</v>
      </c>
      <c r="R80" s="572">
        <f>Q80*1.03</f>
        <v>30.829754000000001</v>
      </c>
      <c r="S80" s="573">
        <f>SUM(Q80*((AG80*0.75)-K80))</f>
        <v>38720.674434</v>
      </c>
      <c r="T80" s="573">
        <f>SUM(R80*((AG80*0.25)-L80))</f>
        <v>13294.098222340001</v>
      </c>
      <c r="U80" s="574">
        <f t="shared" si="117"/>
        <v>52014.772656339999</v>
      </c>
      <c r="V80" s="575">
        <f>Q80*(AG80*0.75)+R80*(AG80*0.25)</f>
        <v>58804.762575000001</v>
      </c>
      <c r="W80" s="744">
        <v>29.06</v>
      </c>
      <c r="X80" s="576">
        <v>1</v>
      </c>
      <c r="Y80" s="566">
        <v>1065</v>
      </c>
      <c r="Z80" s="570">
        <f t="shared" si="119"/>
        <v>227</v>
      </c>
      <c r="AA80" s="534" t="str">
        <f t="shared" si="119"/>
        <v>Newman</v>
      </c>
      <c r="AB80" s="534" t="str">
        <f t="shared" si="119"/>
        <v>Shelby</v>
      </c>
      <c r="AD80" s="577" t="str">
        <f>AA80</f>
        <v>Newman</v>
      </c>
      <c r="AE80" s="578" t="str">
        <f>AB80</f>
        <v>Shelby</v>
      </c>
      <c r="AF80" s="578" t="s">
        <v>927</v>
      </c>
      <c r="AG80" s="579">
        <f>1950*X80</f>
        <v>1950</v>
      </c>
      <c r="AH80" s="580">
        <v>51803</v>
      </c>
      <c r="AI80" s="580">
        <f t="shared" si="40"/>
        <v>52014.770081340001</v>
      </c>
      <c r="AJ80" s="580">
        <f t="shared" si="8"/>
        <v>6789.9899186600005</v>
      </c>
      <c r="AK80" s="855">
        <v>0</v>
      </c>
      <c r="AL80" s="855">
        <v>0</v>
      </c>
      <c r="AM80" s="855">
        <v>0</v>
      </c>
      <c r="AN80" s="855">
        <v>0</v>
      </c>
      <c r="AO80" s="855">
        <v>0</v>
      </c>
      <c r="AP80" s="855">
        <v>0</v>
      </c>
      <c r="AQ80" s="855">
        <v>0</v>
      </c>
      <c r="AR80" s="855">
        <v>0</v>
      </c>
      <c r="AS80" s="855">
        <v>0</v>
      </c>
      <c r="AT80" s="855">
        <v>0</v>
      </c>
      <c r="AU80" s="855">
        <v>0</v>
      </c>
      <c r="AV80" s="855">
        <v>0</v>
      </c>
      <c r="AW80" s="855">
        <v>0</v>
      </c>
      <c r="AX80" s="855">
        <v>0</v>
      </c>
      <c r="AY80" s="855">
        <v>0</v>
      </c>
      <c r="AZ80" s="855">
        <v>0</v>
      </c>
      <c r="BA80" s="855">
        <v>0</v>
      </c>
      <c r="BB80" s="855">
        <v>0</v>
      </c>
      <c r="BC80" s="855">
        <v>0</v>
      </c>
      <c r="BD80" s="855">
        <v>0</v>
      </c>
      <c r="BE80" s="855">
        <v>0</v>
      </c>
      <c r="BF80" s="855">
        <v>0</v>
      </c>
      <c r="BG80" s="855">
        <v>0</v>
      </c>
      <c r="BH80" s="855">
        <v>0</v>
      </c>
      <c r="BI80" s="855">
        <v>0</v>
      </c>
      <c r="BJ80" s="855">
        <v>0</v>
      </c>
      <c r="BK80" s="855">
        <v>0</v>
      </c>
      <c r="BL80" s="855">
        <v>0</v>
      </c>
      <c r="BM80" s="855">
        <v>0</v>
      </c>
      <c r="BN80" s="855">
        <v>0</v>
      </c>
      <c r="BO80" s="855">
        <v>0</v>
      </c>
      <c r="BP80" s="855"/>
      <c r="BQ80" s="855">
        <v>0</v>
      </c>
      <c r="BR80" s="855"/>
      <c r="BS80" s="855">
        <v>0</v>
      </c>
      <c r="BT80" s="855">
        <v>0</v>
      </c>
      <c r="BU80" s="855">
        <f>44103.57+14701.19</f>
        <v>58804.76</v>
      </c>
      <c r="BV80" s="581">
        <f t="shared" si="26"/>
        <v>0</v>
      </c>
      <c r="BW80" s="582">
        <f t="shared" si="27"/>
        <v>211.77008134000062</v>
      </c>
      <c r="BX80" s="583">
        <f t="shared" si="28"/>
        <v>4.0713451392525579E-3</v>
      </c>
    </row>
    <row r="81" spans="1:76" ht="15" hidden="1">
      <c r="A81" s="591"/>
      <c r="B81" s="594" t="s">
        <v>928</v>
      </c>
      <c r="C81" s="594" t="s">
        <v>929</v>
      </c>
      <c r="D81" s="177" t="s">
        <v>769</v>
      </c>
      <c r="E81" s="604">
        <v>45747</v>
      </c>
      <c r="F81" s="568">
        <v>3.47</v>
      </c>
      <c r="G81" s="568">
        <v>3.47</v>
      </c>
      <c r="H81" s="568">
        <v>26</v>
      </c>
      <c r="I81" s="569">
        <f>AG81-J81</f>
        <v>1769.56</v>
      </c>
      <c r="J81" s="570">
        <f t="shared" si="114"/>
        <v>180.44</v>
      </c>
      <c r="K81" s="571">
        <f t="shared" si="10"/>
        <v>135.32999999999998</v>
      </c>
      <c r="L81" s="571">
        <f t="shared" si="11"/>
        <v>45.11</v>
      </c>
      <c r="M81" s="568">
        <v>8742</v>
      </c>
      <c r="N81" s="568">
        <v>0.35399999999999998</v>
      </c>
      <c r="O81" s="743">
        <v>10000</v>
      </c>
      <c r="P81" s="590"/>
      <c r="Q81" s="572">
        <f t="shared" si="118"/>
        <v>44.609300000000005</v>
      </c>
      <c r="R81" s="572">
        <f t="shared" ref="R81:R92" si="120">Q81*1.03</f>
        <v>45.947579000000005</v>
      </c>
      <c r="S81" s="573">
        <f>SUM(Q81*((AG81*0.75)-K81))</f>
        <v>59204.124681000008</v>
      </c>
      <c r="T81" s="573">
        <f>SUM(R81*((AG81*0.25)-L81))</f>
        <v>20326.749473810003</v>
      </c>
      <c r="U81" s="574">
        <f t="shared" si="117"/>
        <v>79530.874154810008</v>
      </c>
      <c r="V81" s="575">
        <f>Q81*(AG81*0.75)+R81*(AG81*0.25)+O81</f>
        <v>97640.54601250001</v>
      </c>
      <c r="W81" s="746">
        <v>43.31</v>
      </c>
      <c r="X81" s="606">
        <v>1</v>
      </c>
      <c r="Y81" s="177">
        <v>1995</v>
      </c>
      <c r="Z81" s="590"/>
      <c r="AA81" s="177" t="s">
        <v>928</v>
      </c>
      <c r="AB81" s="177" t="s">
        <v>930</v>
      </c>
      <c r="AD81" s="578" t="s">
        <v>928</v>
      </c>
      <c r="AE81" s="578" t="s">
        <v>929</v>
      </c>
      <c r="AF81" s="578" t="s">
        <v>931</v>
      </c>
      <c r="AG81" s="579">
        <v>1950</v>
      </c>
      <c r="AH81" s="580">
        <v>83357</v>
      </c>
      <c r="AI81" s="580">
        <f t="shared" si="40"/>
        <v>89530.878142310001</v>
      </c>
      <c r="AJ81" s="580">
        <f t="shared" si="8"/>
        <v>8109.6718576900003</v>
      </c>
      <c r="AK81" s="855">
        <v>0</v>
      </c>
      <c r="AL81" s="855">
        <v>0</v>
      </c>
      <c r="AM81" s="855">
        <v>0</v>
      </c>
      <c r="AN81" s="855">
        <v>0</v>
      </c>
      <c r="AO81" s="855">
        <v>0</v>
      </c>
      <c r="AP81" s="855">
        <v>0</v>
      </c>
      <c r="AQ81" s="855">
        <v>0</v>
      </c>
      <c r="AR81" s="855">
        <v>0</v>
      </c>
      <c r="AS81" s="855">
        <v>0</v>
      </c>
      <c r="AT81" s="855">
        <v>0</v>
      </c>
      <c r="AU81" s="855">
        <v>0</v>
      </c>
      <c r="AV81" s="855">
        <v>0</v>
      </c>
      <c r="AW81" s="855">
        <v>0</v>
      </c>
      <c r="AX81" s="855">
        <v>0</v>
      </c>
      <c r="AY81" s="855">
        <v>0</v>
      </c>
      <c r="AZ81" s="855">
        <v>0</v>
      </c>
      <c r="BA81" s="855">
        <v>0</v>
      </c>
      <c r="BB81" s="855">
        <v>0</v>
      </c>
      <c r="BC81" s="855">
        <v>0</v>
      </c>
      <c r="BD81" s="855">
        <v>0</v>
      </c>
      <c r="BE81" s="855">
        <v>0</v>
      </c>
      <c r="BF81" s="855">
        <v>0</v>
      </c>
      <c r="BG81" s="855">
        <v>0</v>
      </c>
      <c r="BH81" s="855">
        <v>0</v>
      </c>
      <c r="BI81" s="855">
        <v>0</v>
      </c>
      <c r="BJ81" s="855">
        <v>0</v>
      </c>
      <c r="BK81" s="855">
        <v>0</v>
      </c>
      <c r="BL81" s="855">
        <v>0</v>
      </c>
      <c r="BM81" s="855">
        <v>0</v>
      </c>
      <c r="BN81" s="855">
        <v>0</v>
      </c>
      <c r="BO81" s="855">
        <v>0</v>
      </c>
      <c r="BP81" s="855"/>
      <c r="BQ81" s="855">
        <v>0</v>
      </c>
      <c r="BR81" s="855"/>
      <c r="BS81" s="855">
        <v>0</v>
      </c>
      <c r="BT81" s="855">
        <v>0</v>
      </c>
      <c r="BU81" s="855">
        <v>97640.55</v>
      </c>
      <c r="BV81" s="581">
        <f t="shared" si="26"/>
        <v>0</v>
      </c>
      <c r="BW81" s="582">
        <f t="shared" si="27"/>
        <v>6173.8781423100008</v>
      </c>
      <c r="BX81" s="583">
        <f t="shared" si="28"/>
        <v>6.8958087649900746E-2</v>
      </c>
    </row>
    <row r="82" spans="1:76" ht="15" hidden="1">
      <c r="A82" s="177">
        <v>202</v>
      </c>
      <c r="B82" s="564" t="s">
        <v>932</v>
      </c>
      <c r="C82" s="565" t="s">
        <v>896</v>
      </c>
      <c r="D82" s="568" t="s">
        <v>769</v>
      </c>
      <c r="E82" s="587">
        <v>44564</v>
      </c>
      <c r="F82" s="568">
        <v>0.46</v>
      </c>
      <c r="G82" s="568">
        <v>3.47</v>
      </c>
      <c r="H82" s="568">
        <v>26</v>
      </c>
      <c r="I82" s="569">
        <f>520-J82</f>
        <v>417.82</v>
      </c>
      <c r="J82" s="570">
        <f t="shared" si="114"/>
        <v>102.18</v>
      </c>
      <c r="K82" s="571">
        <f t="shared" si="10"/>
        <v>76.635000000000005</v>
      </c>
      <c r="L82" s="571">
        <f t="shared" si="11"/>
        <v>25.545000000000002</v>
      </c>
      <c r="M82" s="568">
        <v>8742</v>
      </c>
      <c r="N82" s="568">
        <v>0.35399999999999998</v>
      </c>
      <c r="O82" s="602"/>
      <c r="P82" s="568"/>
      <c r="Q82" s="572">
        <f t="shared" si="118"/>
        <v>34.494700000000002</v>
      </c>
      <c r="R82" s="572">
        <f t="shared" si="120"/>
        <v>35.529541000000002</v>
      </c>
      <c r="S82" s="573">
        <f>SUM(Q82*((AG82*0.75)-K82))</f>
        <v>10809.4316655</v>
      </c>
      <c r="T82" s="573">
        <f>SUM(R82*((AG82*0.25)-L82))</f>
        <v>3711.2382051550003</v>
      </c>
      <c r="U82" s="574">
        <f t="shared" si="117"/>
        <v>14520.669870655001</v>
      </c>
      <c r="V82" s="575">
        <f>Q82*(AG82*0.75)+R82*(AG82*0.25)</f>
        <v>18071.77333</v>
      </c>
      <c r="W82" s="744">
        <v>33.49</v>
      </c>
      <c r="X82" s="576">
        <v>1</v>
      </c>
      <c r="Y82" s="566">
        <v>1076</v>
      </c>
      <c r="Z82" s="570">
        <f t="shared" ref="Z82:AB83" si="121">A82</f>
        <v>202</v>
      </c>
      <c r="AA82" s="534" t="str">
        <f t="shared" si="121"/>
        <v xml:space="preserve">Oros </v>
      </c>
      <c r="AB82" s="534" t="str">
        <f t="shared" si="121"/>
        <v>Eva</v>
      </c>
      <c r="AD82" s="577" t="str">
        <f t="shared" ref="AD82:AE92" si="122">AA82</f>
        <v xml:space="preserve">Oros </v>
      </c>
      <c r="AE82" s="578" t="str">
        <f t="shared" si="122"/>
        <v>Eva</v>
      </c>
      <c r="AF82" s="578" t="s">
        <v>933</v>
      </c>
      <c r="AG82" s="579">
        <v>520</v>
      </c>
      <c r="AH82" s="580">
        <v>11845</v>
      </c>
      <c r="AI82" s="580">
        <f t="shared" si="40"/>
        <v>64218.046540654992</v>
      </c>
      <c r="AJ82" s="580">
        <f t="shared" si="8"/>
        <v>3551.1034593450004</v>
      </c>
      <c r="AK82" s="855">
        <v>0</v>
      </c>
      <c r="AL82" s="855">
        <v>0</v>
      </c>
      <c r="AM82" s="855">
        <v>0</v>
      </c>
      <c r="AN82" s="855">
        <v>67769.149999999994</v>
      </c>
      <c r="AO82" s="855">
        <v>0</v>
      </c>
      <c r="AP82" s="855">
        <v>0</v>
      </c>
      <c r="AQ82" s="855">
        <v>0</v>
      </c>
      <c r="AR82" s="855">
        <v>0</v>
      </c>
      <c r="AS82" s="855">
        <v>0</v>
      </c>
      <c r="AT82" s="855">
        <v>0</v>
      </c>
      <c r="AU82" s="855">
        <v>0</v>
      </c>
      <c r="AV82" s="855">
        <v>0</v>
      </c>
      <c r="AW82" s="855">
        <v>0</v>
      </c>
      <c r="AX82" s="855">
        <v>0</v>
      </c>
      <c r="AY82" s="855">
        <v>0</v>
      </c>
      <c r="AZ82" s="855">
        <v>0</v>
      </c>
      <c r="BA82" s="855">
        <v>0</v>
      </c>
      <c r="BB82" s="855">
        <v>0</v>
      </c>
      <c r="BC82" s="855">
        <v>0</v>
      </c>
      <c r="BD82" s="855">
        <v>0</v>
      </c>
      <c r="BE82" s="855">
        <v>0</v>
      </c>
      <c r="BF82" s="855">
        <v>0</v>
      </c>
      <c r="BG82" s="855">
        <v>0</v>
      </c>
      <c r="BH82" s="855">
        <v>0</v>
      </c>
      <c r="BI82" s="855">
        <v>0</v>
      </c>
      <c r="BJ82" s="855">
        <v>0</v>
      </c>
      <c r="BK82" s="855">
        <v>0</v>
      </c>
      <c r="BL82" s="855">
        <v>0</v>
      </c>
      <c r="BM82" s="855">
        <v>0</v>
      </c>
      <c r="BN82" s="855">
        <v>0</v>
      </c>
      <c r="BO82" s="855">
        <v>0</v>
      </c>
      <c r="BP82" s="855"/>
      <c r="BQ82" s="855">
        <v>0</v>
      </c>
      <c r="BR82" s="855"/>
      <c r="BS82" s="855">
        <v>0</v>
      </c>
      <c r="BT82" s="855">
        <v>0</v>
      </c>
      <c r="BU82" s="855">
        <v>0</v>
      </c>
      <c r="BV82" s="581">
        <f t="shared" si="26"/>
        <v>67769.149999999994</v>
      </c>
      <c r="BW82" s="582">
        <f t="shared" si="27"/>
        <v>52373.046540654992</v>
      </c>
      <c r="BX82" s="583">
        <f t="shared" si="28"/>
        <v>0.81555029095285236</v>
      </c>
    </row>
    <row r="83" spans="1:76" ht="15" hidden="1">
      <c r="A83" s="177">
        <v>247</v>
      </c>
      <c r="B83" s="564" t="s">
        <v>934</v>
      </c>
      <c r="C83" s="565" t="s">
        <v>935</v>
      </c>
      <c r="D83" s="566"/>
      <c r="E83" s="567"/>
      <c r="F83" s="568"/>
      <c r="G83" s="568"/>
      <c r="H83" s="568"/>
      <c r="I83" s="569"/>
      <c r="J83" s="570"/>
      <c r="K83" s="571"/>
      <c r="L83" s="571"/>
      <c r="M83" s="566"/>
      <c r="N83" s="568"/>
      <c r="O83" s="602"/>
      <c r="P83" s="568"/>
      <c r="Q83" s="572"/>
      <c r="R83" s="572"/>
      <c r="S83" s="573"/>
      <c r="T83" s="573"/>
      <c r="U83" s="574"/>
      <c r="V83" s="575"/>
      <c r="W83" s="744"/>
      <c r="X83" s="576"/>
      <c r="Y83" s="566">
        <v>1010</v>
      </c>
      <c r="Z83" s="570">
        <f t="shared" si="121"/>
        <v>247</v>
      </c>
      <c r="AA83" s="534" t="str">
        <f t="shared" si="121"/>
        <v>Owens</v>
      </c>
      <c r="AB83" s="534" t="str">
        <f t="shared" si="121"/>
        <v>Shavonne</v>
      </c>
      <c r="AD83" s="577" t="str">
        <f t="shared" si="122"/>
        <v>Owens</v>
      </c>
      <c r="AE83" s="578" t="str">
        <f t="shared" si="122"/>
        <v>Shavonne</v>
      </c>
      <c r="AF83" s="578" t="s">
        <v>825</v>
      </c>
      <c r="AG83" s="579">
        <f>1950*X83</f>
        <v>0</v>
      </c>
      <c r="AH83" s="580">
        <v>39156</v>
      </c>
      <c r="AI83" s="580">
        <f t="shared" si="40"/>
        <v>0</v>
      </c>
      <c r="AJ83" s="580">
        <f t="shared" si="8"/>
        <v>0</v>
      </c>
      <c r="AK83" s="855">
        <v>0</v>
      </c>
      <c r="AL83" s="855">
        <v>0</v>
      </c>
      <c r="AM83" s="855">
        <v>0</v>
      </c>
      <c r="AN83" s="855">
        <v>0</v>
      </c>
      <c r="AO83" s="855">
        <v>0</v>
      </c>
      <c r="AP83" s="855">
        <v>0</v>
      </c>
      <c r="AQ83" s="855">
        <v>0</v>
      </c>
      <c r="AR83" s="855">
        <v>0</v>
      </c>
      <c r="AS83" s="855">
        <v>0</v>
      </c>
      <c r="AT83" s="855">
        <v>0</v>
      </c>
      <c r="AU83" s="855">
        <v>0</v>
      </c>
      <c r="AV83" s="855">
        <v>0</v>
      </c>
      <c r="AW83" s="855">
        <v>0</v>
      </c>
      <c r="AX83" s="855">
        <v>0</v>
      </c>
      <c r="AY83" s="855">
        <v>0</v>
      </c>
      <c r="AZ83" s="855">
        <v>0</v>
      </c>
      <c r="BA83" s="855">
        <v>0</v>
      </c>
      <c r="BB83" s="855">
        <v>0</v>
      </c>
      <c r="BC83" s="855">
        <v>0</v>
      </c>
      <c r="BD83" s="855">
        <v>0</v>
      </c>
      <c r="BE83" s="855">
        <v>0</v>
      </c>
      <c r="BF83" s="855">
        <v>0</v>
      </c>
      <c r="BG83" s="855">
        <v>0</v>
      </c>
      <c r="BH83" s="855">
        <v>0</v>
      </c>
      <c r="BI83" s="855">
        <v>0</v>
      </c>
      <c r="BJ83" s="855">
        <v>0</v>
      </c>
      <c r="BK83" s="855">
        <v>0</v>
      </c>
      <c r="BL83" s="855">
        <v>0</v>
      </c>
      <c r="BM83" s="855">
        <v>0</v>
      </c>
      <c r="BN83" s="855">
        <v>0</v>
      </c>
      <c r="BO83" s="855">
        <v>0</v>
      </c>
      <c r="BP83" s="855"/>
      <c r="BQ83" s="855">
        <v>0</v>
      </c>
      <c r="BR83" s="855"/>
      <c r="BS83" s="855">
        <v>0</v>
      </c>
      <c r="BT83" s="855">
        <v>0</v>
      </c>
      <c r="BU83" s="855">
        <v>0</v>
      </c>
      <c r="BV83" s="581">
        <f t="shared" si="26"/>
        <v>0</v>
      </c>
      <c r="BW83" s="582">
        <f t="shared" si="27"/>
        <v>-39156</v>
      </c>
      <c r="BX83" s="583" t="e">
        <f t="shared" si="28"/>
        <v>#DIV/0!</v>
      </c>
    </row>
    <row r="84" spans="1:76" ht="15" hidden="1">
      <c r="A84" s="177"/>
      <c r="B84" s="564" t="s">
        <v>936</v>
      </c>
      <c r="C84" s="565" t="s">
        <v>937</v>
      </c>
      <c r="D84" s="566" t="s">
        <v>761</v>
      </c>
      <c r="E84" s="567">
        <v>45678</v>
      </c>
      <c r="F84" s="568">
        <v>3.47</v>
      </c>
      <c r="G84" s="568">
        <v>3.47</v>
      </c>
      <c r="H84" s="568">
        <v>26</v>
      </c>
      <c r="I84" s="569">
        <f>AG84-J84</f>
        <v>1769.56</v>
      </c>
      <c r="J84" s="570">
        <f t="shared" si="114"/>
        <v>180.44</v>
      </c>
      <c r="K84" s="571">
        <f t="shared" si="10"/>
        <v>135.32999999999998</v>
      </c>
      <c r="L84" s="571">
        <f t="shared" si="11"/>
        <v>45.11</v>
      </c>
      <c r="M84" s="566">
        <v>8810</v>
      </c>
      <c r="N84" s="568">
        <v>0.1716</v>
      </c>
      <c r="O84" s="602">
        <v>1</v>
      </c>
      <c r="P84" s="568"/>
      <c r="Q84" s="572">
        <f>(W84+O84)*1.03</f>
        <v>23.308900000000001</v>
      </c>
      <c r="R84" s="572">
        <f>Q84*1.03</f>
        <v>24.008167</v>
      </c>
      <c r="S84" s="573">
        <f>SUM(Q84*((AG84*0.75)-K84))</f>
        <v>30934.872813000002</v>
      </c>
      <c r="T84" s="573">
        <f>SUM(R84*((AG84*0.25)-L84))</f>
        <v>10620.972999129999</v>
      </c>
      <c r="U84" s="574">
        <f>S84+T84</f>
        <v>41555.845812129999</v>
      </c>
      <c r="V84" s="575">
        <f>Q84*(AG84*0.75)+R84*(AG84*0.25)</f>
        <v>45793.247662499998</v>
      </c>
      <c r="W84" s="744">
        <v>21.63</v>
      </c>
      <c r="X84" s="576">
        <v>1</v>
      </c>
      <c r="Y84" s="566"/>
      <c r="Z84" s="570"/>
      <c r="AA84" s="534" t="s">
        <v>936</v>
      </c>
      <c r="AB84" s="534" t="s">
        <v>937</v>
      </c>
      <c r="AD84" s="577" t="s">
        <v>936</v>
      </c>
      <c r="AE84" s="578" t="s">
        <v>937</v>
      </c>
      <c r="AF84" s="578" t="s">
        <v>801</v>
      </c>
      <c r="AG84" s="579">
        <v>1950</v>
      </c>
      <c r="AH84" s="580">
        <v>38568</v>
      </c>
      <c r="AI84" s="580">
        <f t="shared" si="40"/>
        <v>41555.848149630001</v>
      </c>
      <c r="AJ84" s="580">
        <f t="shared" si="8"/>
        <v>4237.4018503699999</v>
      </c>
      <c r="AK84" s="855">
        <v>0</v>
      </c>
      <c r="AL84" s="855">
        <v>0</v>
      </c>
      <c r="AM84" s="855">
        <v>0</v>
      </c>
      <c r="AN84" s="855">
        <v>0</v>
      </c>
      <c r="AO84" s="855">
        <v>0</v>
      </c>
      <c r="AP84" s="855">
        <v>0</v>
      </c>
      <c r="AQ84" s="855">
        <v>0</v>
      </c>
      <c r="AR84" s="855">
        <v>0</v>
      </c>
      <c r="AS84" s="855">
        <v>0</v>
      </c>
      <c r="AT84" s="855">
        <v>0</v>
      </c>
      <c r="AU84" s="855">
        <v>0</v>
      </c>
      <c r="AV84" s="855">
        <v>0</v>
      </c>
      <c r="AW84" s="855">
        <v>0</v>
      </c>
      <c r="AX84" s="855">
        <v>0</v>
      </c>
      <c r="AY84" s="855">
        <v>0</v>
      </c>
      <c r="AZ84" s="855">
        <v>0</v>
      </c>
      <c r="BA84" s="855">
        <v>0</v>
      </c>
      <c r="BB84" s="855">
        <v>0</v>
      </c>
      <c r="BC84" s="855">
        <v>0</v>
      </c>
      <c r="BD84" s="855">
        <v>0</v>
      </c>
      <c r="BE84" s="855">
        <v>0</v>
      </c>
      <c r="BF84" s="855">
        <v>0</v>
      </c>
      <c r="BG84" s="855">
        <v>0</v>
      </c>
      <c r="BH84" s="855">
        <v>0</v>
      </c>
      <c r="BI84" s="855">
        <v>0</v>
      </c>
      <c r="BJ84" s="855">
        <v>0</v>
      </c>
      <c r="BK84" s="855">
        <v>34802.870000000003</v>
      </c>
      <c r="BL84" s="855">
        <v>0</v>
      </c>
      <c r="BM84" s="855">
        <v>10990.38</v>
      </c>
      <c r="BN84" s="855">
        <v>0</v>
      </c>
      <c r="BO84" s="855">
        <v>0</v>
      </c>
      <c r="BP84" s="855"/>
      <c r="BQ84" s="855">
        <v>0</v>
      </c>
      <c r="BR84" s="855"/>
      <c r="BS84" s="855">
        <v>0</v>
      </c>
      <c r="BT84" s="855">
        <v>0</v>
      </c>
      <c r="BU84" s="855">
        <v>0</v>
      </c>
      <c r="BV84" s="581">
        <f t="shared" si="26"/>
        <v>45793.25</v>
      </c>
      <c r="BW84" s="582">
        <f t="shared" si="27"/>
        <v>2987.848149630001</v>
      </c>
      <c r="BX84" s="583">
        <f t="shared" si="28"/>
        <v>7.1899582914820237E-2</v>
      </c>
    </row>
    <row r="85" spans="1:76" ht="15" hidden="1">
      <c r="A85" s="177">
        <v>148</v>
      </c>
      <c r="B85" s="564" t="s">
        <v>938</v>
      </c>
      <c r="C85" s="565" t="s">
        <v>939</v>
      </c>
      <c r="D85" s="566" t="s">
        <v>761</v>
      </c>
      <c r="E85" s="567">
        <v>43118</v>
      </c>
      <c r="F85" s="568">
        <v>5.19</v>
      </c>
      <c r="G85" s="568">
        <v>3.47</v>
      </c>
      <c r="H85" s="568">
        <v>26</v>
      </c>
      <c r="I85" s="569">
        <f>AG85-J85</f>
        <v>1724.84</v>
      </c>
      <c r="J85" s="570">
        <f t="shared" si="114"/>
        <v>225.16</v>
      </c>
      <c r="K85" s="571">
        <f t="shared" si="10"/>
        <v>168.87</v>
      </c>
      <c r="L85" s="571">
        <f t="shared" si="11"/>
        <v>56.29</v>
      </c>
      <c r="M85" s="568">
        <v>8810</v>
      </c>
      <c r="N85" s="568">
        <v>0.1716</v>
      </c>
      <c r="O85" s="602"/>
      <c r="P85" s="568"/>
      <c r="Q85" s="572">
        <f>W85*1.03</f>
        <v>33.825200000000002</v>
      </c>
      <c r="R85" s="572">
        <f t="shared" si="120"/>
        <v>34.839956000000001</v>
      </c>
      <c r="S85" s="573">
        <f>SUM(Q85*((AG85*0.75)-K85))</f>
        <v>43757.293476000006</v>
      </c>
      <c r="T85" s="573">
        <f>SUM(R85*((AG85*0.25)-L85))</f>
        <v>15023.337426759999</v>
      </c>
      <c r="U85" s="574">
        <f t="shared" si="117"/>
        <v>58780.630902760007</v>
      </c>
      <c r="V85" s="575">
        <f>Q85*(AG85*0.75)+R85*(AG85*0.25)</f>
        <v>66453.83355000001</v>
      </c>
      <c r="W85" s="744">
        <v>32.840000000000003</v>
      </c>
      <c r="X85" s="576">
        <v>1</v>
      </c>
      <c r="Y85" s="566">
        <v>1065</v>
      </c>
      <c r="Z85" s="570">
        <f t="shared" ref="Z85:AB92" si="123">A85</f>
        <v>148</v>
      </c>
      <c r="AA85" s="534" t="str">
        <f t="shared" si="123"/>
        <v>Radak</v>
      </c>
      <c r="AB85" s="534" t="str">
        <f t="shared" si="123"/>
        <v>Dijana</v>
      </c>
      <c r="AD85" s="577" t="str">
        <f t="shared" si="122"/>
        <v>Radak</v>
      </c>
      <c r="AE85" s="578" t="str">
        <f t="shared" si="122"/>
        <v>Dijana</v>
      </c>
      <c r="AF85" s="578" t="s">
        <v>940</v>
      </c>
      <c r="AG85" s="579">
        <f>1950*X85</f>
        <v>1950</v>
      </c>
      <c r="AH85" s="580">
        <v>55184</v>
      </c>
      <c r="AI85" s="580">
        <f t="shared" si="40"/>
        <v>58780.637352759994</v>
      </c>
      <c r="AJ85" s="580">
        <f t="shared" si="8"/>
        <v>7673.2026472400012</v>
      </c>
      <c r="AK85" s="855">
        <v>0</v>
      </c>
      <c r="AL85" s="855">
        <v>0</v>
      </c>
      <c r="AM85" s="855">
        <v>0</v>
      </c>
      <c r="AN85" s="855">
        <v>48511.3</v>
      </c>
      <c r="AO85" s="855">
        <v>0</v>
      </c>
      <c r="AP85" s="855">
        <v>0</v>
      </c>
      <c r="AQ85" s="855">
        <v>0</v>
      </c>
      <c r="AR85" s="855">
        <v>0</v>
      </c>
      <c r="AS85" s="855">
        <v>0</v>
      </c>
      <c r="AT85" s="855">
        <v>0</v>
      </c>
      <c r="AU85" s="855">
        <v>0</v>
      </c>
      <c r="AV85" s="855">
        <v>0</v>
      </c>
      <c r="AW85" s="855">
        <v>0</v>
      </c>
      <c r="AX85" s="855">
        <v>0</v>
      </c>
      <c r="AY85" s="855">
        <v>0</v>
      </c>
      <c r="AZ85" s="855">
        <v>0</v>
      </c>
      <c r="BA85" s="855">
        <v>0</v>
      </c>
      <c r="BB85" s="855">
        <v>0</v>
      </c>
      <c r="BC85" s="855">
        <v>0</v>
      </c>
      <c r="BD85" s="855">
        <v>0</v>
      </c>
      <c r="BE85" s="855">
        <v>0</v>
      </c>
      <c r="BF85" s="855">
        <v>17942.54</v>
      </c>
      <c r="BG85" s="855">
        <v>0</v>
      </c>
      <c r="BH85" s="855">
        <v>0</v>
      </c>
      <c r="BI85" s="855">
        <v>0</v>
      </c>
      <c r="BJ85" s="855">
        <v>0</v>
      </c>
      <c r="BK85" s="855">
        <v>0</v>
      </c>
      <c r="BL85" s="855">
        <v>0</v>
      </c>
      <c r="BM85" s="855">
        <v>0</v>
      </c>
      <c r="BN85" s="855">
        <v>0</v>
      </c>
      <c r="BO85" s="855">
        <v>0</v>
      </c>
      <c r="BP85" s="855"/>
      <c r="BQ85" s="855">
        <v>0</v>
      </c>
      <c r="BR85" s="855"/>
      <c r="BS85" s="855">
        <v>0</v>
      </c>
      <c r="BT85" s="855">
        <v>0</v>
      </c>
      <c r="BU85" s="855">
        <v>0</v>
      </c>
      <c r="BV85" s="581">
        <f t="shared" si="26"/>
        <v>66453.84</v>
      </c>
      <c r="BW85" s="582">
        <f t="shared" si="27"/>
        <v>3596.6373527599935</v>
      </c>
      <c r="BX85" s="583">
        <f t="shared" si="28"/>
        <v>6.1187450744630612E-2</v>
      </c>
    </row>
    <row r="86" spans="1:76" ht="15" hidden="1">
      <c r="A86" s="177">
        <v>83</v>
      </c>
      <c r="B86" s="564" t="s">
        <v>941</v>
      </c>
      <c r="C86" s="565" t="s">
        <v>837</v>
      </c>
      <c r="D86" s="566"/>
      <c r="E86" s="567"/>
      <c r="F86" s="568"/>
      <c r="G86" s="568"/>
      <c r="H86" s="568"/>
      <c r="I86" s="569"/>
      <c r="J86" s="570"/>
      <c r="K86" s="571"/>
      <c r="L86" s="571"/>
      <c r="M86" s="568"/>
      <c r="N86" s="568"/>
      <c r="O86" s="602"/>
      <c r="P86" s="568"/>
      <c r="Q86" s="572"/>
      <c r="R86" s="572"/>
      <c r="S86" s="573"/>
      <c r="T86" s="573"/>
      <c r="U86" s="574"/>
      <c r="V86" s="575"/>
      <c r="W86" s="744"/>
      <c r="X86" s="576"/>
      <c r="Y86" s="566"/>
      <c r="Z86" s="570"/>
      <c r="AA86" s="534"/>
      <c r="AB86" s="534"/>
      <c r="AD86" s="577" t="s">
        <v>941</v>
      </c>
      <c r="AE86" s="578" t="s">
        <v>837</v>
      </c>
      <c r="AF86" s="578" t="s">
        <v>825</v>
      </c>
      <c r="AG86" s="579">
        <f>30*52</f>
        <v>1560</v>
      </c>
      <c r="AH86" s="580">
        <v>36276</v>
      </c>
      <c r="AI86" s="580">
        <f t="shared" si="40"/>
        <v>0</v>
      </c>
      <c r="AJ86" s="580">
        <f t="shared" si="8"/>
        <v>0</v>
      </c>
      <c r="AK86" s="855">
        <v>0</v>
      </c>
      <c r="AL86" s="855">
        <v>0</v>
      </c>
      <c r="AM86" s="855">
        <v>0</v>
      </c>
      <c r="AN86" s="855">
        <v>0</v>
      </c>
      <c r="AO86" s="855">
        <v>0</v>
      </c>
      <c r="AP86" s="855">
        <v>0</v>
      </c>
      <c r="AQ86" s="855">
        <v>0</v>
      </c>
      <c r="AR86" s="855">
        <v>0</v>
      </c>
      <c r="AS86" s="855">
        <v>0</v>
      </c>
      <c r="AT86" s="855">
        <v>0</v>
      </c>
      <c r="AU86" s="855">
        <v>0</v>
      </c>
      <c r="AV86" s="855">
        <v>0</v>
      </c>
      <c r="AW86" s="855">
        <v>0</v>
      </c>
      <c r="AX86" s="855">
        <v>0</v>
      </c>
      <c r="AY86" s="855">
        <v>0</v>
      </c>
      <c r="AZ86" s="855">
        <v>0</v>
      </c>
      <c r="BA86" s="855">
        <v>0</v>
      </c>
      <c r="BB86" s="855">
        <v>0</v>
      </c>
      <c r="BC86" s="855">
        <v>0</v>
      </c>
      <c r="BD86" s="855">
        <v>0</v>
      </c>
      <c r="BE86" s="855">
        <v>0</v>
      </c>
      <c r="BF86" s="855">
        <v>0</v>
      </c>
      <c r="BG86" s="855">
        <v>0</v>
      </c>
      <c r="BH86" s="855">
        <v>0</v>
      </c>
      <c r="BI86" s="855">
        <v>0</v>
      </c>
      <c r="BJ86" s="855">
        <v>0</v>
      </c>
      <c r="BK86" s="855">
        <v>0</v>
      </c>
      <c r="BL86" s="855">
        <v>0</v>
      </c>
      <c r="BM86" s="855">
        <v>0</v>
      </c>
      <c r="BN86" s="855">
        <v>0</v>
      </c>
      <c r="BO86" s="855">
        <v>0</v>
      </c>
      <c r="BP86" s="855"/>
      <c r="BQ86" s="855">
        <v>0</v>
      </c>
      <c r="BR86" s="855"/>
      <c r="BS86" s="855">
        <v>0</v>
      </c>
      <c r="BT86" s="855">
        <v>0</v>
      </c>
      <c r="BU86" s="855">
        <v>0</v>
      </c>
      <c r="BV86" s="581">
        <f t="shared" si="26"/>
        <v>0</v>
      </c>
      <c r="BW86" s="582">
        <f t="shared" si="27"/>
        <v>-36276</v>
      </c>
      <c r="BX86" s="583" t="e">
        <f t="shared" si="28"/>
        <v>#DIV/0!</v>
      </c>
    </row>
    <row r="87" spans="1:76" ht="15" hidden="1">
      <c r="A87" s="177">
        <v>372</v>
      </c>
      <c r="B87" s="564" t="s">
        <v>942</v>
      </c>
      <c r="C87" s="565" t="s">
        <v>943</v>
      </c>
      <c r="D87" s="566"/>
      <c r="E87" s="567"/>
      <c r="F87" s="568"/>
      <c r="G87" s="568"/>
      <c r="H87" s="568"/>
      <c r="I87" s="569"/>
      <c r="J87" s="570"/>
      <c r="K87" s="571"/>
      <c r="L87" s="571"/>
      <c r="M87" s="568"/>
      <c r="N87" s="568"/>
      <c r="O87" s="602"/>
      <c r="P87" s="568"/>
      <c r="Q87" s="572"/>
      <c r="R87" s="572"/>
      <c r="S87" s="573"/>
      <c r="T87" s="573"/>
      <c r="U87" s="574"/>
      <c r="V87" s="575"/>
      <c r="W87" s="744"/>
      <c r="X87" s="576"/>
      <c r="Y87" s="566">
        <v>1020</v>
      </c>
      <c r="Z87" s="570">
        <f t="shared" si="123"/>
        <v>372</v>
      </c>
      <c r="AA87" s="534" t="str">
        <f t="shared" si="123"/>
        <v>Rivera</v>
      </c>
      <c r="AB87" s="534" t="str">
        <f t="shared" si="123"/>
        <v xml:space="preserve">Yessie </v>
      </c>
      <c r="AD87" s="577" t="str">
        <f t="shared" si="122"/>
        <v>Rivera</v>
      </c>
      <c r="AE87" s="578" t="str">
        <f t="shared" si="122"/>
        <v xml:space="preserve">Yessie </v>
      </c>
      <c r="AF87" s="578" t="s">
        <v>944</v>
      </c>
      <c r="AG87" s="579">
        <f>1950*X87</f>
        <v>0</v>
      </c>
      <c r="AH87" s="580">
        <v>55493</v>
      </c>
      <c r="AI87" s="580">
        <f t="shared" si="40"/>
        <v>0</v>
      </c>
      <c r="AJ87" s="580">
        <f t="shared" si="8"/>
        <v>0</v>
      </c>
      <c r="AK87" s="855">
        <v>0</v>
      </c>
      <c r="AL87" s="855">
        <v>0</v>
      </c>
      <c r="AM87" s="855">
        <v>0</v>
      </c>
      <c r="AN87" s="855">
        <v>0</v>
      </c>
      <c r="AO87" s="855">
        <v>0</v>
      </c>
      <c r="AP87" s="855">
        <v>0</v>
      </c>
      <c r="AQ87" s="855">
        <v>0</v>
      </c>
      <c r="AR87" s="855">
        <v>0</v>
      </c>
      <c r="AS87" s="855">
        <v>0</v>
      </c>
      <c r="AT87" s="855">
        <v>0</v>
      </c>
      <c r="AU87" s="855">
        <v>0</v>
      </c>
      <c r="AV87" s="855">
        <v>0</v>
      </c>
      <c r="AW87" s="855">
        <v>0</v>
      </c>
      <c r="AX87" s="855">
        <v>0</v>
      </c>
      <c r="AY87" s="855">
        <v>0</v>
      </c>
      <c r="AZ87" s="855">
        <v>0</v>
      </c>
      <c r="BA87" s="855">
        <v>0</v>
      </c>
      <c r="BB87" s="855">
        <v>0</v>
      </c>
      <c r="BC87" s="855">
        <v>0</v>
      </c>
      <c r="BD87" s="855">
        <v>0</v>
      </c>
      <c r="BE87" s="855">
        <v>0</v>
      </c>
      <c r="BF87" s="855">
        <v>0</v>
      </c>
      <c r="BG87" s="855">
        <v>0</v>
      </c>
      <c r="BH87" s="855">
        <v>0</v>
      </c>
      <c r="BI87" s="855">
        <v>0</v>
      </c>
      <c r="BJ87" s="855">
        <v>0</v>
      </c>
      <c r="BK87" s="855">
        <v>0</v>
      </c>
      <c r="BL87" s="855">
        <v>0</v>
      </c>
      <c r="BM87" s="855">
        <v>0</v>
      </c>
      <c r="BN87" s="855">
        <v>0</v>
      </c>
      <c r="BO87" s="855">
        <v>0</v>
      </c>
      <c r="BP87" s="855"/>
      <c r="BQ87" s="855">
        <v>0</v>
      </c>
      <c r="BR87" s="855"/>
      <c r="BS87" s="855">
        <v>0</v>
      </c>
      <c r="BT87" s="855">
        <v>0</v>
      </c>
      <c r="BU87" s="855">
        <v>0</v>
      </c>
      <c r="BV87" s="581">
        <f t="shared" si="26"/>
        <v>0</v>
      </c>
      <c r="BW87" s="582">
        <f t="shared" si="27"/>
        <v>-55493</v>
      </c>
      <c r="BX87" s="583" t="e">
        <f t="shared" si="28"/>
        <v>#DIV/0!</v>
      </c>
    </row>
    <row r="88" spans="1:76" ht="15" hidden="1">
      <c r="A88" s="177"/>
      <c r="B88" s="564" t="s">
        <v>945</v>
      </c>
      <c r="C88" s="565" t="s">
        <v>946</v>
      </c>
      <c r="D88" s="566" t="s">
        <v>914</v>
      </c>
      <c r="E88" s="567">
        <v>46118</v>
      </c>
      <c r="F88" s="568">
        <v>2.34</v>
      </c>
      <c r="G88" s="568">
        <v>3.47</v>
      </c>
      <c r="H88" s="568">
        <v>26</v>
      </c>
      <c r="I88" s="569">
        <f>AG88-J88</f>
        <v>1408.94</v>
      </c>
      <c r="J88" s="570">
        <f t="shared" ref="J88" si="124">SUM(F88+G88)*H88</f>
        <v>151.06</v>
      </c>
      <c r="K88" s="571">
        <f t="shared" ref="K88" si="125">J88*$K$22</f>
        <v>113.295</v>
      </c>
      <c r="L88" s="571">
        <f t="shared" ref="L88" si="126">J88*$L$22</f>
        <v>37.765000000000001</v>
      </c>
      <c r="M88" s="568">
        <v>8810</v>
      </c>
      <c r="N88" s="568">
        <v>0.1716</v>
      </c>
      <c r="O88" s="602"/>
      <c r="P88" s="568"/>
      <c r="Q88" s="572">
        <f>W88*1.03</f>
        <v>24.72</v>
      </c>
      <c r="R88" s="572">
        <f t="shared" ref="R88" si="127">Q88*1.03</f>
        <v>25.461600000000001</v>
      </c>
      <c r="S88" s="573">
        <f>SUM(Q88*((AG88*0.75)-K88))</f>
        <v>26121.747599999999</v>
      </c>
      <c r="T88" s="573">
        <f>SUM(R88*((AG88*0.25)-L88))</f>
        <v>8968.466676</v>
      </c>
      <c r="U88" s="574">
        <f t="shared" ref="U88" si="128">S88+T88</f>
        <v>35090.214275999999</v>
      </c>
      <c r="V88" s="575">
        <f>Q88*(AG88*0.75)+R88*(AG88*0.25)</f>
        <v>38852.423999999999</v>
      </c>
      <c r="W88" s="744">
        <v>24</v>
      </c>
      <c r="X88" s="576">
        <v>1</v>
      </c>
      <c r="Y88" s="566"/>
      <c r="Z88" s="570"/>
      <c r="AA88" s="534"/>
      <c r="AB88" s="534"/>
      <c r="AD88" s="577" t="str">
        <f>B88</f>
        <v>Rubin</v>
      </c>
      <c r="AE88" s="577" t="str">
        <f>C88</f>
        <v>Raquel</v>
      </c>
      <c r="AF88" s="578" t="s">
        <v>777</v>
      </c>
      <c r="AG88" s="579">
        <f>30*52</f>
        <v>1560</v>
      </c>
      <c r="AH88" s="580">
        <v>0</v>
      </c>
      <c r="AI88" s="580">
        <f t="shared" ref="AI88" si="129">SUM(AK88:BU88)-AJ88</f>
        <v>44803.320275999999</v>
      </c>
      <c r="AJ88" s="580">
        <f t="shared" ref="AJ88" si="130">(Q88*K88)+(R88*L88)</f>
        <v>3762.2097239999998</v>
      </c>
      <c r="AK88" s="855">
        <v>0</v>
      </c>
      <c r="AL88" s="855">
        <v>0</v>
      </c>
      <c r="AM88" s="855">
        <v>0</v>
      </c>
      <c r="AN88" s="855">
        <v>0</v>
      </c>
      <c r="AO88" s="855">
        <v>0</v>
      </c>
      <c r="AP88" s="855">
        <v>0</v>
      </c>
      <c r="AQ88" s="855">
        <v>0</v>
      </c>
      <c r="AR88" s="855">
        <v>0</v>
      </c>
      <c r="AS88" s="855">
        <v>0</v>
      </c>
      <c r="AT88" s="855">
        <v>0</v>
      </c>
      <c r="AU88" s="855">
        <v>0</v>
      </c>
      <c r="AV88" s="855">
        <v>0</v>
      </c>
      <c r="AW88" s="855">
        <v>0</v>
      </c>
      <c r="AX88" s="855">
        <v>0</v>
      </c>
      <c r="AY88" s="855">
        <v>0</v>
      </c>
      <c r="AZ88" s="855">
        <v>0</v>
      </c>
      <c r="BA88" s="855">
        <v>0</v>
      </c>
      <c r="BB88" s="855">
        <v>0</v>
      </c>
      <c r="BC88" s="855">
        <v>0</v>
      </c>
      <c r="BD88" s="855">
        <v>0</v>
      </c>
      <c r="BE88" s="855">
        <v>0</v>
      </c>
      <c r="BF88" s="855">
        <v>0</v>
      </c>
      <c r="BG88" s="855">
        <v>0</v>
      </c>
      <c r="BH88" s="855">
        <v>0</v>
      </c>
      <c r="BI88" s="855">
        <v>0</v>
      </c>
      <c r="BJ88" s="855">
        <v>0</v>
      </c>
      <c r="BK88" s="855">
        <v>0</v>
      </c>
      <c r="BL88" s="855">
        <v>0</v>
      </c>
      <c r="BM88" s="855">
        <v>0</v>
      </c>
      <c r="BN88" s="855">
        <v>0</v>
      </c>
      <c r="BO88" s="855">
        <v>0</v>
      </c>
      <c r="BP88" s="855"/>
      <c r="BQ88" s="855">
        <v>0</v>
      </c>
      <c r="BR88" s="855"/>
      <c r="BS88" s="855">
        <v>0</v>
      </c>
      <c r="BT88" s="855">
        <v>0</v>
      </c>
      <c r="BU88" s="855">
        <f>36424.15+12141.38</f>
        <v>48565.53</v>
      </c>
      <c r="BV88" s="581">
        <f t="shared" si="26"/>
        <v>0</v>
      </c>
      <c r="BW88" s="582">
        <f t="shared" si="27"/>
        <v>44803.320275999999</v>
      </c>
      <c r="BX88" s="583">
        <f t="shared" si="28"/>
        <v>1</v>
      </c>
    </row>
    <row r="89" spans="1:76" ht="15" hidden="1">
      <c r="A89" s="177">
        <v>374</v>
      </c>
      <c r="B89" s="564" t="s">
        <v>947</v>
      </c>
      <c r="C89" s="565" t="s">
        <v>948</v>
      </c>
      <c r="D89" s="566" t="s">
        <v>761</v>
      </c>
      <c r="E89" s="567">
        <v>45398</v>
      </c>
      <c r="F89" s="568">
        <v>3.47</v>
      </c>
      <c r="G89" s="568">
        <v>3.47</v>
      </c>
      <c r="H89" s="568">
        <v>26</v>
      </c>
      <c r="I89" s="569">
        <f>AG89-J89</f>
        <v>1769.56</v>
      </c>
      <c r="J89" s="570">
        <f t="shared" si="114"/>
        <v>180.44</v>
      </c>
      <c r="K89" s="571">
        <f t="shared" si="10"/>
        <v>135.32999999999998</v>
      </c>
      <c r="L89" s="571">
        <f t="shared" si="11"/>
        <v>45.11</v>
      </c>
      <c r="M89" s="568">
        <v>8810</v>
      </c>
      <c r="N89" s="568">
        <v>0.1716</v>
      </c>
      <c r="O89" s="602"/>
      <c r="P89" s="568"/>
      <c r="Q89" s="572">
        <f>W89*1.03</f>
        <v>30.817600000000002</v>
      </c>
      <c r="R89" s="572">
        <f t="shared" si="120"/>
        <v>31.742128000000005</v>
      </c>
      <c r="S89" s="573">
        <f>SUM(Q89*((AG89*0.75)-K89))</f>
        <v>40900.194192000003</v>
      </c>
      <c r="T89" s="573">
        <f>SUM(R89*((AG89*0.25)-L89))</f>
        <v>14042.400005920001</v>
      </c>
      <c r="U89" s="574">
        <f t="shared" si="117"/>
        <v>54942.59419792</v>
      </c>
      <c r="V89" s="575">
        <f>Q89*(AG89*0.75)+R89*(AG89*0.25)</f>
        <v>60545.027400000006</v>
      </c>
      <c r="W89" s="744">
        <v>29.92</v>
      </c>
      <c r="X89" s="576">
        <v>1</v>
      </c>
      <c r="Y89" s="566">
        <v>1015</v>
      </c>
      <c r="Z89" s="570">
        <f t="shared" si="123"/>
        <v>374</v>
      </c>
      <c r="AA89" s="534" t="str">
        <f t="shared" si="123"/>
        <v>Russo</v>
      </c>
      <c r="AB89" s="534" t="str">
        <f t="shared" si="123"/>
        <v xml:space="preserve">Devon </v>
      </c>
      <c r="AD89" s="577" t="str">
        <f t="shared" si="122"/>
        <v>Russo</v>
      </c>
      <c r="AE89" s="578" t="str">
        <f t="shared" si="122"/>
        <v xml:space="preserve">Devon </v>
      </c>
      <c r="AF89" s="578" t="s">
        <v>949</v>
      </c>
      <c r="AG89" s="579">
        <f>1950*X89</f>
        <v>1950</v>
      </c>
      <c r="AH89" s="580">
        <v>53345</v>
      </c>
      <c r="AI89" s="580">
        <f t="shared" si="40"/>
        <v>54942.566797919993</v>
      </c>
      <c r="AJ89" s="580">
        <f t="shared" si="8"/>
        <v>5602.4332020800002</v>
      </c>
      <c r="AK89" s="855">
        <v>6659.95</v>
      </c>
      <c r="AL89" s="855">
        <v>4843.6000000000004</v>
      </c>
      <c r="AM89" s="855">
        <v>10292.65</v>
      </c>
      <c r="AN89" s="855">
        <v>0</v>
      </c>
      <c r="AO89" s="855">
        <v>6054.5</v>
      </c>
      <c r="AP89" s="855">
        <v>0</v>
      </c>
      <c r="AQ89" s="855">
        <v>0</v>
      </c>
      <c r="AR89" s="855">
        <v>0</v>
      </c>
      <c r="AS89" s="855">
        <v>0</v>
      </c>
      <c r="AT89" s="855">
        <v>0</v>
      </c>
      <c r="AU89" s="855">
        <v>0</v>
      </c>
      <c r="AV89" s="855">
        <v>0</v>
      </c>
      <c r="AW89" s="855">
        <v>0</v>
      </c>
      <c r="AX89" s="855">
        <v>0</v>
      </c>
      <c r="AY89" s="855">
        <v>0</v>
      </c>
      <c r="AZ89" s="855">
        <v>0</v>
      </c>
      <c r="BA89" s="855">
        <v>0</v>
      </c>
      <c r="BB89" s="855">
        <v>0</v>
      </c>
      <c r="BC89" s="855">
        <v>0</v>
      </c>
      <c r="BD89" s="855">
        <v>0</v>
      </c>
      <c r="BE89" s="855">
        <v>0</v>
      </c>
      <c r="BF89" s="855">
        <v>0</v>
      </c>
      <c r="BG89" s="855">
        <v>0</v>
      </c>
      <c r="BH89" s="855">
        <v>4843.6000000000004</v>
      </c>
      <c r="BI89" s="855">
        <v>0</v>
      </c>
      <c r="BJ89" s="855">
        <v>0</v>
      </c>
      <c r="BK89" s="855">
        <v>8476.2999999999993</v>
      </c>
      <c r="BL89" s="855">
        <v>0</v>
      </c>
      <c r="BM89" s="855">
        <v>0</v>
      </c>
      <c r="BN89" s="855">
        <v>0</v>
      </c>
      <c r="BO89" s="855">
        <v>0</v>
      </c>
      <c r="BP89" s="855"/>
      <c r="BQ89" s="855">
        <v>0</v>
      </c>
      <c r="BR89" s="855"/>
      <c r="BS89" s="855">
        <v>4843.6000000000004</v>
      </c>
      <c r="BT89" s="855">
        <f>4843.6+4843.6</f>
        <v>9687.2000000000007</v>
      </c>
      <c r="BU89" s="855">
        <f>2421.8+2421.8</f>
        <v>4843.6000000000004</v>
      </c>
      <c r="BV89" s="581">
        <f t="shared" si="26"/>
        <v>55701.399999999994</v>
      </c>
      <c r="BW89" s="582">
        <f t="shared" si="27"/>
        <v>1597.5667979199934</v>
      </c>
      <c r="BX89" s="583">
        <f t="shared" si="28"/>
        <v>2.9077032454560836E-2</v>
      </c>
    </row>
    <row r="90" spans="1:76" ht="15" hidden="1">
      <c r="A90" s="177">
        <v>150</v>
      </c>
      <c r="B90" s="564" t="s">
        <v>950</v>
      </c>
      <c r="C90" s="565" t="s">
        <v>951</v>
      </c>
      <c r="D90" s="566" t="s">
        <v>761</v>
      </c>
      <c r="E90" s="567">
        <v>43180</v>
      </c>
      <c r="F90" s="568">
        <v>5.19</v>
      </c>
      <c r="G90" s="568">
        <v>3.47</v>
      </c>
      <c r="H90" s="568">
        <v>26</v>
      </c>
      <c r="I90" s="569">
        <f>AG90-J90</f>
        <v>1724.84</v>
      </c>
      <c r="J90" s="570">
        <f t="shared" si="114"/>
        <v>225.16</v>
      </c>
      <c r="K90" s="571">
        <f t="shared" si="10"/>
        <v>168.87</v>
      </c>
      <c r="L90" s="571">
        <f t="shared" si="11"/>
        <v>56.29</v>
      </c>
      <c r="M90" s="568">
        <v>8742</v>
      </c>
      <c r="N90" s="568">
        <v>0.35399999999999998</v>
      </c>
      <c r="O90" s="602"/>
      <c r="P90" s="568"/>
      <c r="Q90" s="572">
        <f t="shared" ref="Q90:Q94" si="131">W90*1.03+O90</f>
        <v>32.836399999999998</v>
      </c>
      <c r="R90" s="572">
        <f t="shared" si="120"/>
        <v>33.821491999999999</v>
      </c>
      <c r="S90" s="573">
        <f>SUM(Q90*((AG90*0.75)-K90))</f>
        <v>42478.152132000003</v>
      </c>
      <c r="T90" s="573">
        <f>SUM(R90*((AG90*0.25)-L90))</f>
        <v>14584.16556532</v>
      </c>
      <c r="U90" s="574">
        <f t="shared" si="117"/>
        <v>57062.317697320002</v>
      </c>
      <c r="V90" s="575">
        <f>Q90*(AG90*0.75)+R90*(AG90*0.25)</f>
        <v>64511.212349999994</v>
      </c>
      <c r="W90" s="744">
        <v>31.88</v>
      </c>
      <c r="X90" s="576">
        <v>1</v>
      </c>
      <c r="Y90" s="566">
        <v>1018</v>
      </c>
      <c r="Z90" s="570">
        <f t="shared" si="123"/>
        <v>150</v>
      </c>
      <c r="AA90" s="534" t="str">
        <f t="shared" si="123"/>
        <v>Sanchez</v>
      </c>
      <c r="AB90" s="534" t="str">
        <f t="shared" si="123"/>
        <v>Arlene</v>
      </c>
      <c r="AD90" s="577" t="str">
        <f t="shared" si="122"/>
        <v>Sanchez</v>
      </c>
      <c r="AE90" s="578" t="str">
        <f t="shared" si="122"/>
        <v>Arlene</v>
      </c>
      <c r="AF90" s="578" t="s">
        <v>952</v>
      </c>
      <c r="AG90" s="579">
        <f>1950*X90</f>
        <v>1950</v>
      </c>
      <c r="AH90" s="580">
        <v>53859</v>
      </c>
      <c r="AI90" s="580">
        <f t="shared" si="40"/>
        <v>57062.31534732</v>
      </c>
      <c r="AJ90" s="580">
        <f t="shared" si="8"/>
        <v>7448.8946526799991</v>
      </c>
      <c r="AK90" s="855">
        <v>0</v>
      </c>
      <c r="AL90" s="855">
        <v>0</v>
      </c>
      <c r="AM90" s="855">
        <v>0</v>
      </c>
      <c r="AN90" s="855">
        <v>0</v>
      </c>
      <c r="AO90" s="855">
        <v>0</v>
      </c>
      <c r="AP90" s="855">
        <v>0</v>
      </c>
      <c r="AQ90" s="855">
        <v>0</v>
      </c>
      <c r="AR90" s="855">
        <v>0</v>
      </c>
      <c r="AS90" s="855">
        <v>0</v>
      </c>
      <c r="AT90" s="855">
        <v>0</v>
      </c>
      <c r="AU90" s="855">
        <v>0</v>
      </c>
      <c r="AV90" s="855">
        <v>0</v>
      </c>
      <c r="AW90" s="855">
        <v>0</v>
      </c>
      <c r="AX90" s="855">
        <v>0</v>
      </c>
      <c r="AY90" s="855">
        <v>0</v>
      </c>
      <c r="AZ90" s="855">
        <v>0</v>
      </c>
      <c r="BA90" s="855">
        <v>0</v>
      </c>
      <c r="BB90" s="855">
        <v>0</v>
      </c>
      <c r="BC90" s="855">
        <v>0</v>
      </c>
      <c r="BD90" s="855">
        <v>0</v>
      </c>
      <c r="BE90" s="855">
        <v>0</v>
      </c>
      <c r="BF90" s="855">
        <v>0</v>
      </c>
      <c r="BG90" s="855">
        <v>0</v>
      </c>
      <c r="BH90" s="855">
        <v>0</v>
      </c>
      <c r="BI90" s="855">
        <v>0</v>
      </c>
      <c r="BJ90" s="855">
        <v>0</v>
      </c>
      <c r="BK90" s="855">
        <v>58060.09</v>
      </c>
      <c r="BL90" s="855">
        <v>0</v>
      </c>
      <c r="BM90" s="855">
        <v>6451.12</v>
      </c>
      <c r="BN90" s="855">
        <v>0</v>
      </c>
      <c r="BO90" s="855">
        <v>0</v>
      </c>
      <c r="BP90" s="855"/>
      <c r="BQ90" s="855">
        <v>0</v>
      </c>
      <c r="BR90" s="855"/>
      <c r="BS90" s="855">
        <v>0</v>
      </c>
      <c r="BT90" s="855">
        <v>0</v>
      </c>
      <c r="BU90" s="855">
        <v>0</v>
      </c>
      <c r="BV90" s="581">
        <f t="shared" si="26"/>
        <v>64511.21</v>
      </c>
      <c r="BW90" s="582">
        <f t="shared" si="27"/>
        <v>3203.31534732</v>
      </c>
      <c r="BX90" s="583">
        <f t="shared" si="28"/>
        <v>5.6137142838008747E-2</v>
      </c>
    </row>
    <row r="91" spans="1:76" ht="15" hidden="1">
      <c r="A91" s="177">
        <v>131</v>
      </c>
      <c r="B91" s="564" t="s">
        <v>953</v>
      </c>
      <c r="C91" s="565" t="s">
        <v>954</v>
      </c>
      <c r="D91" s="566" t="s">
        <v>761</v>
      </c>
      <c r="E91" s="567">
        <v>42079</v>
      </c>
      <c r="F91" s="592">
        <v>6.92</v>
      </c>
      <c r="G91" s="592">
        <v>3.47</v>
      </c>
      <c r="H91" s="592">
        <v>26</v>
      </c>
      <c r="I91" s="569">
        <f>AG91-J91</f>
        <v>1679.8600000000001</v>
      </c>
      <c r="J91" s="570">
        <f t="shared" si="114"/>
        <v>270.14</v>
      </c>
      <c r="K91" s="571">
        <f t="shared" si="10"/>
        <v>202.60499999999999</v>
      </c>
      <c r="L91" s="571">
        <f t="shared" si="11"/>
        <v>67.534999999999997</v>
      </c>
      <c r="M91" s="592">
        <v>8810</v>
      </c>
      <c r="N91" s="568">
        <v>0.1716</v>
      </c>
      <c r="O91" s="602"/>
      <c r="P91" s="568"/>
      <c r="Q91" s="572">
        <f t="shared" si="131"/>
        <v>24.4419</v>
      </c>
      <c r="R91" s="572">
        <f t="shared" si="120"/>
        <v>25.175157000000002</v>
      </c>
      <c r="S91" s="573">
        <f>SUM(Q91*((AG91*0.75)-K91))</f>
        <v>30794.227600499999</v>
      </c>
      <c r="T91" s="573">
        <f>SUM(R91*((AG91*0.25)-L91))</f>
        <v>10572.684809505001</v>
      </c>
      <c r="U91" s="574">
        <f t="shared" si="117"/>
        <v>41366.912410004996</v>
      </c>
      <c r="V91" s="575">
        <f>Q91*(AG91*0.75)+R91*(AG91*0.25)</f>
        <v>48019.167787500002</v>
      </c>
      <c r="W91" s="744">
        <v>23.73</v>
      </c>
      <c r="X91" s="593">
        <v>1</v>
      </c>
      <c r="Y91" s="566">
        <v>1010</v>
      </c>
      <c r="Z91" s="570">
        <f t="shared" si="123"/>
        <v>131</v>
      </c>
      <c r="AA91" s="534" t="str">
        <f t="shared" si="123"/>
        <v>Sarivong</v>
      </c>
      <c r="AB91" s="534" t="str">
        <f t="shared" si="123"/>
        <v>Douangchai</v>
      </c>
      <c r="AD91" s="577" t="str">
        <f t="shared" si="122"/>
        <v>Sarivong</v>
      </c>
      <c r="AE91" s="578" t="str">
        <f t="shared" si="122"/>
        <v>Douangchai</v>
      </c>
      <c r="AF91" s="578" t="s">
        <v>825</v>
      </c>
      <c r="AG91" s="579">
        <f>1950*X91</f>
        <v>1950</v>
      </c>
      <c r="AH91" s="580">
        <v>40172</v>
      </c>
      <c r="AI91" s="580">
        <f t="shared" si="40"/>
        <v>43390.474622504997</v>
      </c>
      <c r="AJ91" s="580">
        <f t="shared" si="8"/>
        <v>6652.2553774950002</v>
      </c>
      <c r="AK91" s="855">
        <v>0</v>
      </c>
      <c r="AL91" s="855">
        <v>0</v>
      </c>
      <c r="AM91" s="855">
        <v>29024.78</v>
      </c>
      <c r="AN91" s="855">
        <v>0</v>
      </c>
      <c r="AO91" s="855">
        <v>0</v>
      </c>
      <c r="AP91" s="855">
        <v>0</v>
      </c>
      <c r="AQ91" s="855">
        <v>0</v>
      </c>
      <c r="AR91" s="855">
        <v>0</v>
      </c>
      <c r="AS91" s="855">
        <v>0</v>
      </c>
      <c r="AT91" s="855">
        <v>0</v>
      </c>
      <c r="AU91" s="855">
        <v>0</v>
      </c>
      <c r="AV91" s="855">
        <v>0</v>
      </c>
      <c r="AW91" s="855">
        <v>0</v>
      </c>
      <c r="AX91" s="855">
        <v>0</v>
      </c>
      <c r="AY91" s="855">
        <v>0</v>
      </c>
      <c r="AZ91" s="855">
        <v>0</v>
      </c>
      <c r="BA91" s="855">
        <v>0</v>
      </c>
      <c r="BB91" s="855">
        <v>0</v>
      </c>
      <c r="BC91" s="855">
        <v>0</v>
      </c>
      <c r="BD91" s="855">
        <v>0</v>
      </c>
      <c r="BE91" s="855">
        <v>0</v>
      </c>
      <c r="BF91" s="855">
        <v>0</v>
      </c>
      <c r="BG91" s="855">
        <v>0</v>
      </c>
      <c r="BH91" s="855">
        <v>0</v>
      </c>
      <c r="BI91" s="855">
        <v>0</v>
      </c>
      <c r="BJ91" s="855">
        <v>21017.95</v>
      </c>
      <c r="BK91" s="855">
        <v>0</v>
      </c>
      <c r="BL91" s="855">
        <v>0</v>
      </c>
      <c r="BM91" s="855">
        <v>0</v>
      </c>
      <c r="BN91" s="855">
        <v>0</v>
      </c>
      <c r="BO91" s="855">
        <v>0</v>
      </c>
      <c r="BP91" s="855"/>
      <c r="BQ91" s="855">
        <v>0</v>
      </c>
      <c r="BR91" s="855"/>
      <c r="BS91" s="855">
        <v>0</v>
      </c>
      <c r="BT91" s="855">
        <v>0</v>
      </c>
      <c r="BU91" s="855">
        <v>0</v>
      </c>
      <c r="BV91" s="581">
        <f t="shared" si="26"/>
        <v>50042.729999999996</v>
      </c>
      <c r="BW91" s="582">
        <f t="shared" si="27"/>
        <v>3218.4746225049967</v>
      </c>
      <c r="BX91" s="583">
        <f t="shared" si="28"/>
        <v>7.4174681206084281E-2</v>
      </c>
    </row>
    <row r="92" spans="1:76" ht="15" hidden="1">
      <c r="A92" s="177"/>
      <c r="B92" s="564" t="s">
        <v>955</v>
      </c>
      <c r="C92" s="565" t="s">
        <v>956</v>
      </c>
      <c r="D92" s="566" t="s">
        <v>769</v>
      </c>
      <c r="E92" s="567">
        <v>45362</v>
      </c>
      <c r="F92" s="568">
        <v>3.47</v>
      </c>
      <c r="G92" s="568">
        <v>3.47</v>
      </c>
      <c r="H92" s="568">
        <v>26</v>
      </c>
      <c r="I92" s="569">
        <f>AG92-J92</f>
        <v>1769.56</v>
      </c>
      <c r="J92" s="570">
        <f t="shared" si="114"/>
        <v>180.44</v>
      </c>
      <c r="K92" s="571">
        <f t="shared" si="10"/>
        <v>135.32999999999998</v>
      </c>
      <c r="L92" s="571">
        <f t="shared" si="11"/>
        <v>45.11</v>
      </c>
      <c r="M92" s="566">
        <v>8810</v>
      </c>
      <c r="N92" s="568">
        <v>0.1716</v>
      </c>
      <c r="O92" s="602"/>
      <c r="P92" s="568"/>
      <c r="Q92" s="572">
        <f t="shared" si="131"/>
        <v>22.0214</v>
      </c>
      <c r="R92" s="572">
        <f t="shared" si="120"/>
        <v>22.682041999999999</v>
      </c>
      <c r="S92" s="573">
        <f>SUM(Q92*((AG92*0.75)-K92))</f>
        <v>29226.141438000002</v>
      </c>
      <c r="T92" s="573">
        <f>SUM(R92*((AG92*0.25)-L92))</f>
        <v>10034.308560379999</v>
      </c>
      <c r="U92" s="574">
        <f t="shared" si="117"/>
        <v>39260.449998380005</v>
      </c>
      <c r="V92" s="575">
        <f>Q92*(AG92*0.75)+R92*(AG92*0.25)</f>
        <v>43263.792975000004</v>
      </c>
      <c r="W92" s="744">
        <v>21.38</v>
      </c>
      <c r="X92" s="576">
        <v>1</v>
      </c>
      <c r="Y92" s="566">
        <v>1010</v>
      </c>
      <c r="Z92" s="570">
        <f t="shared" si="123"/>
        <v>0</v>
      </c>
      <c r="AA92" s="534" t="str">
        <f t="shared" si="123"/>
        <v>Scaramuzzini</v>
      </c>
      <c r="AB92" s="534" t="str">
        <f t="shared" si="123"/>
        <v xml:space="preserve">Anthony </v>
      </c>
      <c r="AC92" s="607"/>
      <c r="AD92" s="577" t="str">
        <f t="shared" si="122"/>
        <v>Scaramuzzini</v>
      </c>
      <c r="AE92" s="578" t="str">
        <f t="shared" si="122"/>
        <v xml:space="preserve">Anthony </v>
      </c>
      <c r="AF92" s="578" t="s">
        <v>825</v>
      </c>
      <c r="AG92" s="579">
        <f>1950*X92</f>
        <v>1950</v>
      </c>
      <c r="AH92" s="580">
        <v>38127</v>
      </c>
      <c r="AI92" s="580">
        <f t="shared" si="40"/>
        <v>41284.017023380002</v>
      </c>
      <c r="AJ92" s="580">
        <f t="shared" si="8"/>
        <v>4003.3429766199997</v>
      </c>
      <c r="AK92" s="855">
        <v>0</v>
      </c>
      <c r="AL92" s="855">
        <v>0</v>
      </c>
      <c r="AM92" s="855">
        <v>0</v>
      </c>
      <c r="AN92" s="855">
        <v>0</v>
      </c>
      <c r="AO92" s="855">
        <v>0</v>
      </c>
      <c r="AP92" s="855">
        <v>0</v>
      </c>
      <c r="AQ92" s="855">
        <v>0</v>
      </c>
      <c r="AR92" s="855">
        <v>0</v>
      </c>
      <c r="AS92" s="855">
        <v>0</v>
      </c>
      <c r="AT92" s="855">
        <v>0</v>
      </c>
      <c r="AU92" s="855">
        <v>0</v>
      </c>
      <c r="AV92" s="855">
        <v>0</v>
      </c>
      <c r="AW92" s="855">
        <v>0</v>
      </c>
      <c r="AX92" s="855">
        <v>0</v>
      </c>
      <c r="AY92" s="855">
        <v>0</v>
      </c>
      <c r="AZ92" s="855">
        <v>0</v>
      </c>
      <c r="BA92" s="855">
        <v>0</v>
      </c>
      <c r="BB92" s="855">
        <v>0</v>
      </c>
      <c r="BC92" s="855">
        <v>0</v>
      </c>
      <c r="BD92" s="855">
        <v>0</v>
      </c>
      <c r="BE92" s="855">
        <v>0</v>
      </c>
      <c r="BF92" s="855">
        <v>0</v>
      </c>
      <c r="BG92" s="855">
        <v>0</v>
      </c>
      <c r="BH92" s="855">
        <v>0</v>
      </c>
      <c r="BI92" s="855">
        <v>0</v>
      </c>
      <c r="BJ92" s="855">
        <v>0</v>
      </c>
      <c r="BK92" s="855">
        <v>34418.39</v>
      </c>
      <c r="BL92" s="855">
        <v>0</v>
      </c>
      <c r="BM92" s="855">
        <v>10868.97</v>
      </c>
      <c r="BN92" s="855">
        <v>0</v>
      </c>
      <c r="BO92" s="855">
        <v>0</v>
      </c>
      <c r="BP92" s="855"/>
      <c r="BQ92" s="855">
        <v>0</v>
      </c>
      <c r="BR92" s="855"/>
      <c r="BS92" s="855">
        <v>0</v>
      </c>
      <c r="BT92" s="855">
        <v>0</v>
      </c>
      <c r="BU92" s="855">
        <v>0</v>
      </c>
      <c r="BV92" s="581">
        <f t="shared" si="26"/>
        <v>45287.360000000001</v>
      </c>
      <c r="BW92" s="582">
        <f t="shared" si="27"/>
        <v>3157.0170233800018</v>
      </c>
      <c r="BX92" s="583">
        <f t="shared" si="28"/>
        <v>7.6470684080769513E-2</v>
      </c>
    </row>
    <row r="93" spans="1:76" ht="15" hidden="1">
      <c r="A93" s="177"/>
      <c r="B93" s="564" t="s">
        <v>957</v>
      </c>
      <c r="C93" s="565" t="s">
        <v>958</v>
      </c>
      <c r="D93" s="566"/>
      <c r="E93" s="567"/>
      <c r="F93" s="568"/>
      <c r="G93" s="568"/>
      <c r="H93" s="568"/>
      <c r="I93" s="569"/>
      <c r="J93" s="570"/>
      <c r="K93" s="571"/>
      <c r="L93" s="571"/>
      <c r="M93" s="566"/>
      <c r="N93" s="568"/>
      <c r="O93" s="602"/>
      <c r="P93" s="568"/>
      <c r="Q93" s="572"/>
      <c r="R93" s="572"/>
      <c r="S93" s="573"/>
      <c r="T93" s="573"/>
      <c r="U93" s="574"/>
      <c r="V93" s="575"/>
      <c r="W93" s="744"/>
      <c r="X93" s="576"/>
      <c r="Y93" s="566">
        <v>1095</v>
      </c>
      <c r="Z93" s="570"/>
      <c r="AA93" s="534" t="s">
        <v>959</v>
      </c>
      <c r="AB93" s="534" t="s">
        <v>958</v>
      </c>
      <c r="AD93" s="577" t="s">
        <v>957</v>
      </c>
      <c r="AE93" s="578" t="s">
        <v>960</v>
      </c>
      <c r="AF93" s="578" t="s">
        <v>961</v>
      </c>
      <c r="AG93" s="579">
        <v>1950</v>
      </c>
      <c r="AH93" s="580">
        <v>43153</v>
      </c>
      <c r="AI93" s="580">
        <f t="shared" si="40"/>
        <v>0</v>
      </c>
      <c r="AJ93" s="580">
        <f t="shared" ref="AJ93:AJ99" si="132">(Q93*K93)+(R93*L93)</f>
        <v>0</v>
      </c>
      <c r="AK93" s="855">
        <v>0</v>
      </c>
      <c r="AL93" s="855">
        <v>0</v>
      </c>
      <c r="AM93" s="855">
        <v>0</v>
      </c>
      <c r="AN93" s="855">
        <v>0</v>
      </c>
      <c r="AO93" s="855">
        <v>0</v>
      </c>
      <c r="AP93" s="855">
        <v>0</v>
      </c>
      <c r="AQ93" s="855">
        <v>0</v>
      </c>
      <c r="AR93" s="855">
        <v>0</v>
      </c>
      <c r="AS93" s="855">
        <v>0</v>
      </c>
      <c r="AT93" s="855">
        <v>0</v>
      </c>
      <c r="AU93" s="855">
        <v>0</v>
      </c>
      <c r="AV93" s="855">
        <v>0</v>
      </c>
      <c r="AW93" s="855">
        <v>0</v>
      </c>
      <c r="AX93" s="855">
        <v>0</v>
      </c>
      <c r="AY93" s="855">
        <v>0</v>
      </c>
      <c r="AZ93" s="855">
        <v>0</v>
      </c>
      <c r="BA93" s="855">
        <v>0</v>
      </c>
      <c r="BB93" s="855">
        <v>0</v>
      </c>
      <c r="BC93" s="855">
        <v>0</v>
      </c>
      <c r="BD93" s="855">
        <v>0</v>
      </c>
      <c r="BE93" s="855">
        <v>0</v>
      </c>
      <c r="BF93" s="855">
        <v>0</v>
      </c>
      <c r="BG93" s="855">
        <v>0</v>
      </c>
      <c r="BH93" s="855">
        <v>0</v>
      </c>
      <c r="BI93" s="855">
        <v>0</v>
      </c>
      <c r="BJ93" s="855">
        <v>0</v>
      </c>
      <c r="BK93" s="855">
        <v>0</v>
      </c>
      <c r="BL93" s="855">
        <v>0</v>
      </c>
      <c r="BM93" s="855">
        <v>0</v>
      </c>
      <c r="BN93" s="855">
        <v>0</v>
      </c>
      <c r="BO93" s="855">
        <v>0</v>
      </c>
      <c r="BP93" s="855"/>
      <c r="BQ93" s="855">
        <v>0</v>
      </c>
      <c r="BR93" s="855"/>
      <c r="BS93" s="855">
        <v>0</v>
      </c>
      <c r="BT93" s="855">
        <v>0</v>
      </c>
      <c r="BU93" s="855">
        <v>0</v>
      </c>
      <c r="BV93" s="581">
        <f t="shared" si="26"/>
        <v>0</v>
      </c>
      <c r="BW93" s="582">
        <f t="shared" si="27"/>
        <v>-43153</v>
      </c>
      <c r="BX93" s="583" t="e">
        <f t="shared" si="28"/>
        <v>#DIV/0!</v>
      </c>
    </row>
    <row r="94" spans="1:76" ht="15" hidden="1">
      <c r="A94" s="177"/>
      <c r="B94" s="564" t="s">
        <v>962</v>
      </c>
      <c r="C94" s="565" t="s">
        <v>963</v>
      </c>
      <c r="D94" s="566" t="s">
        <v>761</v>
      </c>
      <c r="E94" s="567">
        <v>45754</v>
      </c>
      <c r="F94" s="568">
        <v>3.47</v>
      </c>
      <c r="G94" s="568">
        <v>3.47</v>
      </c>
      <c r="H94" s="568">
        <v>26</v>
      </c>
      <c r="I94" s="569">
        <f>AG94-J94</f>
        <v>1769.56</v>
      </c>
      <c r="J94" s="570">
        <f t="shared" si="114"/>
        <v>180.44</v>
      </c>
      <c r="K94" s="571">
        <f t="shared" ref="K94:K100" si="133">J94*$K$22</f>
        <v>135.32999999999998</v>
      </c>
      <c r="L94" s="571">
        <f t="shared" ref="L94:L100" si="134">J94*$L$22</f>
        <v>45.11</v>
      </c>
      <c r="M94" s="566">
        <v>8810</v>
      </c>
      <c r="N94" s="568">
        <v>0.1716</v>
      </c>
      <c r="O94" s="602"/>
      <c r="P94" s="568"/>
      <c r="Q94" s="572">
        <f t="shared" si="131"/>
        <v>24.936300000000003</v>
      </c>
      <c r="R94" s="572">
        <f>Q94*1.03</f>
        <v>25.684389000000003</v>
      </c>
      <c r="S94" s="573">
        <f>SUM(Q94*((AG94*0.75)-K94))</f>
        <v>33094.709271000007</v>
      </c>
      <c r="T94" s="573">
        <f>SUM(R94*((AG94*0.25)-L94))</f>
        <v>11362.51684971</v>
      </c>
      <c r="U94" s="574">
        <f t="shared" si="117"/>
        <v>44457.226120710009</v>
      </c>
      <c r="V94" s="575">
        <f>Q94*(AG94*0.75)+R94*(AG94*0.25)</f>
        <v>48990.478387500007</v>
      </c>
      <c r="W94" s="744">
        <v>24.21</v>
      </c>
      <c r="X94" s="576">
        <v>1</v>
      </c>
      <c r="Y94" s="566">
        <v>1095</v>
      </c>
      <c r="Z94" s="570"/>
      <c r="AA94" s="534" t="s">
        <v>962</v>
      </c>
      <c r="AB94" s="534" t="s">
        <v>963</v>
      </c>
      <c r="AD94" s="577" t="s">
        <v>964</v>
      </c>
      <c r="AE94" s="578" t="s">
        <v>963</v>
      </c>
      <c r="AF94" s="578" t="s">
        <v>965</v>
      </c>
      <c r="AG94" s="579">
        <v>1950</v>
      </c>
      <c r="AH94" s="580">
        <v>36726</v>
      </c>
      <c r="AI94" s="580">
        <f t="shared" si="40"/>
        <v>44457.227733209998</v>
      </c>
      <c r="AJ94" s="580">
        <f t="shared" si="132"/>
        <v>4533.2522667900002</v>
      </c>
      <c r="AK94" s="855">
        <v>0</v>
      </c>
      <c r="AL94" s="855">
        <v>0</v>
      </c>
      <c r="AM94" s="855">
        <v>0</v>
      </c>
      <c r="AN94" s="855">
        <v>0</v>
      </c>
      <c r="AO94" s="855">
        <v>0</v>
      </c>
      <c r="AP94" s="855">
        <v>0</v>
      </c>
      <c r="AQ94" s="855">
        <v>0</v>
      </c>
      <c r="AR94" s="855">
        <v>0</v>
      </c>
      <c r="AS94" s="855">
        <v>0</v>
      </c>
      <c r="AT94" s="855">
        <v>40662.1</v>
      </c>
      <c r="AU94" s="855">
        <v>0</v>
      </c>
      <c r="AV94" s="855">
        <v>0</v>
      </c>
      <c r="AW94" s="855">
        <v>0</v>
      </c>
      <c r="AX94" s="855">
        <v>0</v>
      </c>
      <c r="AY94" s="855">
        <v>0</v>
      </c>
      <c r="AZ94" s="855">
        <v>0</v>
      </c>
      <c r="BA94" s="855">
        <v>0</v>
      </c>
      <c r="BB94" s="855">
        <v>0</v>
      </c>
      <c r="BC94" s="855">
        <v>0</v>
      </c>
      <c r="BD94" s="855">
        <v>0</v>
      </c>
      <c r="BE94" s="855">
        <v>0</v>
      </c>
      <c r="BF94" s="855">
        <v>0</v>
      </c>
      <c r="BG94" s="855">
        <v>8328.3799999999992</v>
      </c>
      <c r="BH94" s="855">
        <v>0</v>
      </c>
      <c r="BI94" s="855">
        <v>0</v>
      </c>
      <c r="BJ94" s="855">
        <v>0</v>
      </c>
      <c r="BK94" s="855">
        <v>0</v>
      </c>
      <c r="BL94" s="855">
        <v>0</v>
      </c>
      <c r="BM94" s="855">
        <v>0</v>
      </c>
      <c r="BN94" s="855">
        <v>0</v>
      </c>
      <c r="BO94" s="855">
        <v>0</v>
      </c>
      <c r="BP94" s="855"/>
      <c r="BQ94" s="855">
        <v>0</v>
      </c>
      <c r="BR94" s="855"/>
      <c r="BS94" s="855">
        <v>0</v>
      </c>
      <c r="BT94" s="855">
        <v>0</v>
      </c>
      <c r="BU94" s="855">
        <v>0</v>
      </c>
      <c r="BV94" s="581">
        <f t="shared" si="26"/>
        <v>48990.479999999996</v>
      </c>
      <c r="BW94" s="582">
        <f t="shared" si="27"/>
        <v>7731.2277332099984</v>
      </c>
      <c r="BX94" s="583">
        <f t="shared" si="28"/>
        <v>0.17390260543472202</v>
      </c>
    </row>
    <row r="95" spans="1:76" ht="15" hidden="1">
      <c r="A95" s="591">
        <v>253</v>
      </c>
      <c r="B95" s="585" t="s">
        <v>966</v>
      </c>
      <c r="C95" s="586" t="s">
        <v>967</v>
      </c>
      <c r="D95" s="566"/>
      <c r="E95" s="567"/>
      <c r="F95" s="568"/>
      <c r="G95" s="568"/>
      <c r="H95" s="568"/>
      <c r="I95" s="569"/>
      <c r="J95" s="570"/>
      <c r="K95" s="571"/>
      <c r="L95" s="571"/>
      <c r="M95" s="566"/>
      <c r="N95" s="568"/>
      <c r="O95" s="602"/>
      <c r="P95" s="568"/>
      <c r="Q95" s="572"/>
      <c r="R95" s="572"/>
      <c r="S95" s="573"/>
      <c r="T95" s="573"/>
      <c r="U95" s="574"/>
      <c r="V95" s="575"/>
      <c r="W95" s="744"/>
      <c r="X95" s="608"/>
      <c r="Y95" s="566">
        <v>1039</v>
      </c>
      <c r="Z95" s="570">
        <f t="shared" ref="Z95:AB99" si="135">A95</f>
        <v>253</v>
      </c>
      <c r="AA95" s="534" t="str">
        <f t="shared" si="135"/>
        <v>Valdes</v>
      </c>
      <c r="AB95" s="534" t="str">
        <f t="shared" si="135"/>
        <v>Elizabeth</v>
      </c>
      <c r="AD95" s="577" t="str">
        <f t="shared" ref="AD95:AE99" si="136">AA95</f>
        <v>Valdes</v>
      </c>
      <c r="AE95" s="578" t="str">
        <f t="shared" si="136"/>
        <v>Elizabeth</v>
      </c>
      <c r="AF95" s="578" t="s">
        <v>780</v>
      </c>
      <c r="AG95" s="579">
        <f t="shared" ref="AG95:AG99" si="137">1950*X95</f>
        <v>0</v>
      </c>
      <c r="AH95" s="580">
        <v>38195</v>
      </c>
      <c r="AI95" s="580">
        <f t="shared" si="40"/>
        <v>0</v>
      </c>
      <c r="AJ95" s="580">
        <f t="shared" si="132"/>
        <v>0</v>
      </c>
      <c r="AK95" s="855">
        <v>0</v>
      </c>
      <c r="AL95" s="855">
        <v>0</v>
      </c>
      <c r="AM95" s="855">
        <v>0</v>
      </c>
      <c r="AN95" s="855">
        <v>0</v>
      </c>
      <c r="AO95" s="855">
        <v>0</v>
      </c>
      <c r="AP95" s="855">
        <v>0</v>
      </c>
      <c r="AQ95" s="855">
        <v>0</v>
      </c>
      <c r="AR95" s="855">
        <v>0</v>
      </c>
      <c r="AS95" s="855">
        <v>0</v>
      </c>
      <c r="AT95" s="855">
        <v>0</v>
      </c>
      <c r="AU95" s="855">
        <v>0</v>
      </c>
      <c r="AV95" s="855">
        <v>0</v>
      </c>
      <c r="AW95" s="855">
        <v>0</v>
      </c>
      <c r="AX95" s="855">
        <v>0</v>
      </c>
      <c r="AY95" s="855">
        <v>0</v>
      </c>
      <c r="AZ95" s="855">
        <v>0</v>
      </c>
      <c r="BA95" s="855">
        <v>0</v>
      </c>
      <c r="BB95" s="855">
        <v>0</v>
      </c>
      <c r="BC95" s="855">
        <v>0</v>
      </c>
      <c r="BD95" s="855">
        <v>0</v>
      </c>
      <c r="BE95" s="855">
        <v>0</v>
      </c>
      <c r="BF95" s="855">
        <v>0</v>
      </c>
      <c r="BG95" s="855">
        <v>0</v>
      </c>
      <c r="BH95" s="855">
        <v>0</v>
      </c>
      <c r="BI95" s="855">
        <v>0</v>
      </c>
      <c r="BJ95" s="855">
        <v>0</v>
      </c>
      <c r="BK95" s="855">
        <v>0</v>
      </c>
      <c r="BL95" s="855">
        <v>0</v>
      </c>
      <c r="BM95" s="855">
        <v>0</v>
      </c>
      <c r="BN95" s="855">
        <v>0</v>
      </c>
      <c r="BO95" s="855">
        <v>0</v>
      </c>
      <c r="BP95" s="855"/>
      <c r="BQ95" s="855">
        <v>0</v>
      </c>
      <c r="BR95" s="855"/>
      <c r="BS95" s="855">
        <v>0</v>
      </c>
      <c r="BT95" s="855">
        <v>0</v>
      </c>
      <c r="BU95" s="855">
        <v>0</v>
      </c>
      <c r="BV95" s="581">
        <f t="shared" si="26"/>
        <v>0</v>
      </c>
      <c r="BW95" s="582">
        <f t="shared" si="27"/>
        <v>-38195</v>
      </c>
      <c r="BX95" s="583" t="e">
        <f t="shared" si="28"/>
        <v>#DIV/0!</v>
      </c>
    </row>
    <row r="96" spans="1:76" ht="15" hidden="1">
      <c r="A96" s="591">
        <v>230</v>
      </c>
      <c r="B96" s="585" t="s">
        <v>968</v>
      </c>
      <c r="C96" s="586" t="s">
        <v>969</v>
      </c>
      <c r="D96" s="566" t="s">
        <v>761</v>
      </c>
      <c r="E96" s="567">
        <v>44922</v>
      </c>
      <c r="F96" s="568">
        <v>5.19</v>
      </c>
      <c r="G96" s="568">
        <v>3.47</v>
      </c>
      <c r="H96" s="568">
        <v>26</v>
      </c>
      <c r="I96" s="569">
        <f t="shared" ref="I96:I110" si="138">AG96-J96</f>
        <v>1724.84</v>
      </c>
      <c r="J96" s="570">
        <f t="shared" si="114"/>
        <v>225.16</v>
      </c>
      <c r="K96" s="571">
        <f t="shared" si="133"/>
        <v>168.87</v>
      </c>
      <c r="L96" s="571">
        <f t="shared" si="134"/>
        <v>56.29</v>
      </c>
      <c r="M96" s="566">
        <v>8810</v>
      </c>
      <c r="N96" s="568">
        <v>0.1716</v>
      </c>
      <c r="O96" s="602">
        <v>1</v>
      </c>
      <c r="P96" s="568"/>
      <c r="Q96" s="572">
        <f>(W96+O96)*1.03</f>
        <v>24.750900000000001</v>
      </c>
      <c r="R96" s="572">
        <f>Q96*1.03</f>
        <v>25.493427000000001</v>
      </c>
      <c r="S96" s="573">
        <f t="shared" ref="S96:S110" si="139">SUM(Q96*((AG96*0.75)-K96))</f>
        <v>32018.506767000006</v>
      </c>
      <c r="T96" s="573">
        <f t="shared" ref="T96:T110" si="140">SUM(R96*((AG96*0.25)-L96))</f>
        <v>10993.02065667</v>
      </c>
      <c r="U96" s="574">
        <f>S96+T96</f>
        <v>43011.527423670006</v>
      </c>
      <c r="V96" s="575">
        <f t="shared" ref="V96:V110" si="141">Q96*(AG96*0.75)+R96*(AG96*0.25)</f>
        <v>48626.236912500004</v>
      </c>
      <c r="W96" s="744">
        <v>23.03</v>
      </c>
      <c r="X96" s="608">
        <v>1</v>
      </c>
      <c r="Y96" s="566">
        <v>1039</v>
      </c>
      <c r="Z96" s="570">
        <f t="shared" si="135"/>
        <v>230</v>
      </c>
      <c r="AA96" s="534" t="str">
        <f t="shared" si="135"/>
        <v>Vinciguerra</v>
      </c>
      <c r="AB96" s="534" t="str">
        <f t="shared" si="135"/>
        <v>Lucia</v>
      </c>
      <c r="AD96" s="577" t="str">
        <f t="shared" si="136"/>
        <v>Vinciguerra</v>
      </c>
      <c r="AE96" s="578" t="str">
        <f t="shared" si="136"/>
        <v>Lucia</v>
      </c>
      <c r="AF96" s="578" t="s">
        <v>780</v>
      </c>
      <c r="AG96" s="579">
        <f t="shared" si="137"/>
        <v>1950</v>
      </c>
      <c r="AH96" s="580">
        <v>39279</v>
      </c>
      <c r="AI96" s="580">
        <f t="shared" si="40"/>
        <v>43011.53051117</v>
      </c>
      <c r="AJ96" s="580">
        <f t="shared" si="132"/>
        <v>5614.7094888299998</v>
      </c>
      <c r="AK96" s="855">
        <v>0</v>
      </c>
      <c r="AL96" s="855">
        <v>0</v>
      </c>
      <c r="AM96" s="855">
        <v>0</v>
      </c>
      <c r="AN96" s="855">
        <v>0</v>
      </c>
      <c r="AO96" s="855">
        <v>0</v>
      </c>
      <c r="AP96" s="855">
        <v>0</v>
      </c>
      <c r="AQ96" s="855">
        <v>0</v>
      </c>
      <c r="AR96" s="855">
        <v>0</v>
      </c>
      <c r="AS96" s="855">
        <v>0</v>
      </c>
      <c r="AT96" s="855">
        <v>0</v>
      </c>
      <c r="AU96" s="855">
        <v>0</v>
      </c>
      <c r="AV96" s="855">
        <v>0</v>
      </c>
      <c r="AW96" s="855">
        <v>0</v>
      </c>
      <c r="AX96" s="855">
        <v>0</v>
      </c>
      <c r="AY96" s="855">
        <v>0</v>
      </c>
      <c r="AZ96" s="855">
        <v>0</v>
      </c>
      <c r="BA96" s="855">
        <v>0</v>
      </c>
      <c r="BB96" s="855">
        <v>0</v>
      </c>
      <c r="BC96" s="855">
        <v>0</v>
      </c>
      <c r="BD96" s="855">
        <v>0</v>
      </c>
      <c r="BE96" s="855">
        <v>0</v>
      </c>
      <c r="BF96" s="855">
        <v>0</v>
      </c>
      <c r="BG96" s="855">
        <v>0</v>
      </c>
      <c r="BH96" s="855">
        <v>0</v>
      </c>
      <c r="BI96" s="855">
        <v>0</v>
      </c>
      <c r="BJ96" s="855">
        <v>0</v>
      </c>
      <c r="BK96" s="855">
        <v>0</v>
      </c>
      <c r="BL96" s="855">
        <v>0</v>
      </c>
      <c r="BM96" s="855">
        <v>0</v>
      </c>
      <c r="BN96" s="855">
        <v>0</v>
      </c>
      <c r="BO96" s="855">
        <v>0</v>
      </c>
      <c r="BP96" s="855"/>
      <c r="BQ96" s="855">
        <v>0</v>
      </c>
      <c r="BR96" s="855">
        <v>48626.239999999998</v>
      </c>
      <c r="BS96" s="855">
        <v>0</v>
      </c>
      <c r="BT96" s="855">
        <v>0</v>
      </c>
      <c r="BU96" s="855">
        <v>0</v>
      </c>
      <c r="BV96" s="581">
        <f t="shared" si="26"/>
        <v>48626.239999999998</v>
      </c>
      <c r="BW96" s="582">
        <f t="shared" si="27"/>
        <v>3732.53051117</v>
      </c>
      <c r="BX96" s="583">
        <f t="shared" si="28"/>
        <v>8.677976502604734E-2</v>
      </c>
    </row>
    <row r="97" spans="1:76" ht="15" hidden="1">
      <c r="A97" s="177">
        <v>189</v>
      </c>
      <c r="B97" s="564" t="s">
        <v>970</v>
      </c>
      <c r="C97" s="565" t="s">
        <v>971</v>
      </c>
      <c r="D97" s="566" t="s">
        <v>830</v>
      </c>
      <c r="E97" s="567">
        <v>44263</v>
      </c>
      <c r="F97" s="568">
        <v>5.19</v>
      </c>
      <c r="G97" s="568">
        <v>3.47</v>
      </c>
      <c r="H97" s="568">
        <v>26</v>
      </c>
      <c r="I97" s="569">
        <f t="shared" si="138"/>
        <v>1724.84</v>
      </c>
      <c r="J97" s="570">
        <f t="shared" si="114"/>
        <v>225.16</v>
      </c>
      <c r="K97" s="571">
        <f t="shared" si="133"/>
        <v>168.87</v>
      </c>
      <c r="L97" s="571">
        <f t="shared" si="134"/>
        <v>56.29</v>
      </c>
      <c r="M97" s="568">
        <v>8810</v>
      </c>
      <c r="N97" s="568">
        <v>0.1716</v>
      </c>
      <c r="O97" s="602"/>
      <c r="P97" s="568"/>
      <c r="Q97" s="572">
        <f>W97*1.03</f>
        <v>41.560500000000005</v>
      </c>
      <c r="R97" s="572">
        <f>Q97*1.03</f>
        <v>42.807315000000003</v>
      </c>
      <c r="S97" s="573">
        <f t="shared" si="139"/>
        <v>53763.909615000011</v>
      </c>
      <c r="T97" s="573">
        <f t="shared" si="140"/>
        <v>18458.94230115</v>
      </c>
      <c r="U97" s="574">
        <f t="shared" si="117"/>
        <v>72222.851916150015</v>
      </c>
      <c r="V97" s="575">
        <f t="shared" si="141"/>
        <v>81650.797312500014</v>
      </c>
      <c r="W97" s="744">
        <v>40.35</v>
      </c>
      <c r="X97" s="576">
        <v>1</v>
      </c>
      <c r="Y97" s="566">
        <v>1005</v>
      </c>
      <c r="Z97" s="570">
        <f>A97</f>
        <v>189</v>
      </c>
      <c r="AA97" s="534" t="str">
        <f t="shared" si="135"/>
        <v>Waller</v>
      </c>
      <c r="AB97" s="534" t="str">
        <f t="shared" si="135"/>
        <v>Zakiya</v>
      </c>
      <c r="AD97" s="577" t="str">
        <f t="shared" si="136"/>
        <v>Waller</v>
      </c>
      <c r="AE97" s="578" t="str">
        <f t="shared" si="136"/>
        <v>Zakiya</v>
      </c>
      <c r="AF97" s="578" t="s">
        <v>972</v>
      </c>
      <c r="AG97" s="579">
        <f t="shared" si="137"/>
        <v>1950</v>
      </c>
      <c r="AH97" s="580">
        <v>71929</v>
      </c>
      <c r="AI97" s="580">
        <f t="shared" si="40"/>
        <v>72222.844603649995</v>
      </c>
      <c r="AJ97" s="580">
        <f t="shared" si="132"/>
        <v>9427.9453963500018</v>
      </c>
      <c r="AK97" s="855">
        <v>4082.54</v>
      </c>
      <c r="AL97" s="855">
        <v>48173.97</v>
      </c>
      <c r="AM97" s="855">
        <v>2449.52</v>
      </c>
      <c r="AN97" s="855">
        <v>0</v>
      </c>
      <c r="AO97" s="855">
        <v>4082.54</v>
      </c>
      <c r="AP97" s="855">
        <v>0</v>
      </c>
      <c r="AQ97" s="855">
        <v>0</v>
      </c>
      <c r="AR97" s="855">
        <v>0</v>
      </c>
      <c r="AS97" s="855">
        <v>0</v>
      </c>
      <c r="AT97" s="855">
        <v>0</v>
      </c>
      <c r="AU97" s="855">
        <v>0</v>
      </c>
      <c r="AV97" s="855">
        <v>0</v>
      </c>
      <c r="AW97" s="855">
        <v>0</v>
      </c>
      <c r="AX97" s="855">
        <v>0</v>
      </c>
      <c r="AY97" s="855">
        <v>0</v>
      </c>
      <c r="AZ97" s="855">
        <v>0</v>
      </c>
      <c r="BA97" s="855">
        <v>0</v>
      </c>
      <c r="BB97" s="855">
        <v>0</v>
      </c>
      <c r="BC97" s="855">
        <v>0</v>
      </c>
      <c r="BD97" s="855">
        <v>4082.54</v>
      </c>
      <c r="BE97" s="855">
        <v>2449.52</v>
      </c>
      <c r="BF97" s="855">
        <v>0</v>
      </c>
      <c r="BG97" s="855">
        <v>0</v>
      </c>
      <c r="BH97" s="855">
        <v>0</v>
      </c>
      <c r="BI97" s="855">
        <v>0</v>
      </c>
      <c r="BJ97" s="855">
        <v>0</v>
      </c>
      <c r="BK97" s="855">
        <v>0</v>
      </c>
      <c r="BL97" s="855">
        <v>0</v>
      </c>
      <c r="BM97" s="855">
        <v>0</v>
      </c>
      <c r="BN97" s="855">
        <v>0</v>
      </c>
      <c r="BO97" s="855">
        <v>0</v>
      </c>
      <c r="BP97" s="855"/>
      <c r="BQ97" s="855">
        <v>0</v>
      </c>
      <c r="BR97" s="855"/>
      <c r="BS97" s="855">
        <v>16330.16</v>
      </c>
      <c r="BT97" s="855">
        <v>0</v>
      </c>
      <c r="BU97" s="855">
        <v>0</v>
      </c>
      <c r="BV97" s="581">
        <f t="shared" ref="BV97:BV115" si="142">SUM(AK97:BU97)-BU97</f>
        <v>81650.789999999994</v>
      </c>
      <c r="BW97" s="582">
        <f t="shared" ref="BW97:BW115" si="143">AI97-AH97</f>
        <v>293.84460364999541</v>
      </c>
      <c r="BX97" s="583">
        <f t="shared" ref="BX97:BX115" si="144">100%-(AH97/AI97)</f>
        <v>4.0685825276278731E-3</v>
      </c>
    </row>
    <row r="98" spans="1:76" ht="15" hidden="1">
      <c r="A98" s="177">
        <v>115</v>
      </c>
      <c r="B98" s="564" t="s">
        <v>973</v>
      </c>
      <c r="C98" s="565" t="s">
        <v>974</v>
      </c>
      <c r="D98" s="566" t="s">
        <v>761</v>
      </c>
      <c r="E98" s="567">
        <v>42611</v>
      </c>
      <c r="F98" s="592">
        <v>6.92</v>
      </c>
      <c r="G98" s="568">
        <v>3.47</v>
      </c>
      <c r="H98" s="568">
        <v>26</v>
      </c>
      <c r="I98" s="569">
        <f t="shared" si="138"/>
        <v>1679.8600000000001</v>
      </c>
      <c r="J98" s="570">
        <f t="shared" si="114"/>
        <v>270.14</v>
      </c>
      <c r="K98" s="571">
        <f t="shared" si="133"/>
        <v>202.60499999999999</v>
      </c>
      <c r="L98" s="571">
        <f t="shared" si="134"/>
        <v>67.534999999999997</v>
      </c>
      <c r="M98" s="568">
        <v>8810</v>
      </c>
      <c r="N98" s="568">
        <v>0.1716</v>
      </c>
      <c r="O98" s="602"/>
      <c r="P98" s="568"/>
      <c r="Q98" s="572">
        <f>W98*1.03</f>
        <v>27.480399999999999</v>
      </c>
      <c r="R98" s="572">
        <f>Q98*1.03</f>
        <v>28.304812000000002</v>
      </c>
      <c r="S98" s="573">
        <f t="shared" si="139"/>
        <v>34622.418557999998</v>
      </c>
      <c r="T98" s="573">
        <f t="shared" si="140"/>
        <v>11887.030371580002</v>
      </c>
      <c r="U98" s="574">
        <f t="shared" si="117"/>
        <v>46509.448929580001</v>
      </c>
      <c r="V98" s="575">
        <f t="shared" si="141"/>
        <v>53988.680850000004</v>
      </c>
      <c r="W98" s="745">
        <v>26.68</v>
      </c>
      <c r="X98" s="576">
        <v>1</v>
      </c>
      <c r="Y98" s="566">
        <v>1017</v>
      </c>
      <c r="Z98" s="570">
        <f>A98</f>
        <v>115</v>
      </c>
      <c r="AA98" s="534" t="str">
        <f t="shared" si="135"/>
        <v>White</v>
      </c>
      <c r="AB98" s="534" t="str">
        <f t="shared" si="135"/>
        <v>Kandice</v>
      </c>
      <c r="AD98" s="577" t="str">
        <f t="shared" si="136"/>
        <v>White</v>
      </c>
      <c r="AE98" s="578" t="str">
        <f t="shared" si="136"/>
        <v>Kandice</v>
      </c>
      <c r="AF98" s="578" t="s">
        <v>975</v>
      </c>
      <c r="AG98" s="579">
        <f t="shared" si="137"/>
        <v>1950</v>
      </c>
      <c r="AH98" s="580">
        <v>46358</v>
      </c>
      <c r="AI98" s="580">
        <f t="shared" si="40"/>
        <v>46509.448079580005</v>
      </c>
      <c r="AJ98" s="580">
        <f t="shared" si="132"/>
        <v>7479.2319204199994</v>
      </c>
      <c r="AK98" s="855">
        <v>0</v>
      </c>
      <c r="AL98" s="855">
        <v>0</v>
      </c>
      <c r="AM98" s="855">
        <v>0</v>
      </c>
      <c r="AN98" s="855">
        <v>0</v>
      </c>
      <c r="AO98" s="855">
        <v>0</v>
      </c>
      <c r="AP98" s="855">
        <v>0</v>
      </c>
      <c r="AQ98" s="855">
        <v>0</v>
      </c>
      <c r="AR98" s="855">
        <v>0</v>
      </c>
      <c r="AS98" s="855">
        <v>0</v>
      </c>
      <c r="AT98" s="855">
        <v>0</v>
      </c>
      <c r="AU98" s="855">
        <v>0</v>
      </c>
      <c r="AV98" s="855">
        <v>0</v>
      </c>
      <c r="AW98" s="855">
        <v>0</v>
      </c>
      <c r="AX98" s="855">
        <v>0</v>
      </c>
      <c r="AY98" s="855">
        <v>0</v>
      </c>
      <c r="AZ98" s="855">
        <v>0</v>
      </c>
      <c r="BA98" s="855">
        <v>0</v>
      </c>
      <c r="BB98" s="855">
        <v>0</v>
      </c>
      <c r="BC98" s="855">
        <v>0</v>
      </c>
      <c r="BD98" s="855">
        <v>0</v>
      </c>
      <c r="BE98" s="855">
        <v>0</v>
      </c>
      <c r="BF98" s="855">
        <v>0</v>
      </c>
      <c r="BG98" s="855">
        <v>0</v>
      </c>
      <c r="BH98" s="855">
        <v>0</v>
      </c>
      <c r="BI98" s="855">
        <v>5938.75</v>
      </c>
      <c r="BJ98" s="855">
        <v>9178.08</v>
      </c>
      <c r="BK98" s="855">
        <v>25374.68</v>
      </c>
      <c r="BL98" s="855">
        <v>1619.66</v>
      </c>
      <c r="BM98" s="855">
        <v>0</v>
      </c>
      <c r="BN98" s="855">
        <v>11877.51</v>
      </c>
      <c r="BO98" s="855">
        <v>0</v>
      </c>
      <c r="BP98" s="855"/>
      <c r="BQ98" s="855">
        <v>0</v>
      </c>
      <c r="BR98" s="855"/>
      <c r="BS98" s="855">
        <v>0</v>
      </c>
      <c r="BT98" s="855">
        <v>0</v>
      </c>
      <c r="BU98" s="855">
        <v>0</v>
      </c>
      <c r="BV98" s="581">
        <f t="shared" si="142"/>
        <v>53988.680000000008</v>
      </c>
      <c r="BW98" s="582">
        <f t="shared" si="143"/>
        <v>151.44807958000456</v>
      </c>
      <c r="BX98" s="583">
        <f t="shared" si="144"/>
        <v>3.2562863210260362E-3</v>
      </c>
    </row>
    <row r="99" spans="1:76" ht="15" hidden="1">
      <c r="A99" s="177">
        <v>146</v>
      </c>
      <c r="B99" s="564" t="s">
        <v>976</v>
      </c>
      <c r="C99" s="565" t="s">
        <v>977</v>
      </c>
      <c r="D99" s="566" t="s">
        <v>761</v>
      </c>
      <c r="E99" s="567">
        <v>42935</v>
      </c>
      <c r="F99" s="568">
        <v>6.92</v>
      </c>
      <c r="G99" s="568">
        <v>3.47</v>
      </c>
      <c r="H99" s="568">
        <v>26</v>
      </c>
      <c r="I99" s="569">
        <f t="shared" si="138"/>
        <v>1679.8600000000001</v>
      </c>
      <c r="J99" s="570">
        <f t="shared" si="114"/>
        <v>270.14</v>
      </c>
      <c r="K99" s="571">
        <f t="shared" si="133"/>
        <v>202.60499999999999</v>
      </c>
      <c r="L99" s="571">
        <f t="shared" si="134"/>
        <v>67.534999999999997</v>
      </c>
      <c r="M99" s="568">
        <v>8810</v>
      </c>
      <c r="N99" s="568">
        <v>0.1716</v>
      </c>
      <c r="O99" s="576">
        <v>0.1</v>
      </c>
      <c r="P99" s="568"/>
      <c r="Q99" s="572">
        <f>(W99*1.06)*1.03</f>
        <v>89.789632000000012</v>
      </c>
      <c r="R99" s="572">
        <f>Q99*1.03</f>
        <v>92.483320960000015</v>
      </c>
      <c r="S99" s="573">
        <f t="shared" si="139"/>
        <v>113125.50840864002</v>
      </c>
      <c r="T99" s="573">
        <f t="shared" si="140"/>
        <v>38839.757886966407</v>
      </c>
      <c r="U99" s="574">
        <f t="shared" si="117"/>
        <v>151965.26629560642</v>
      </c>
      <c r="V99" s="575">
        <f t="shared" si="141"/>
        <v>176402.95576800004</v>
      </c>
      <c r="W99" s="745">
        <v>82.24</v>
      </c>
      <c r="X99" s="576">
        <v>1</v>
      </c>
      <c r="Y99" s="566">
        <v>1005</v>
      </c>
      <c r="Z99" s="570">
        <f>A99</f>
        <v>146</v>
      </c>
      <c r="AA99" s="534" t="str">
        <f t="shared" si="135"/>
        <v>Winter</v>
      </c>
      <c r="AB99" s="534" t="str">
        <f t="shared" si="135"/>
        <v>Ann Marie</v>
      </c>
      <c r="AD99" s="577" t="str">
        <f t="shared" si="136"/>
        <v>Winter</v>
      </c>
      <c r="AE99" s="578" t="str">
        <f t="shared" si="136"/>
        <v>Ann Marie</v>
      </c>
      <c r="AF99" s="578" t="s">
        <v>978</v>
      </c>
      <c r="AG99" s="579">
        <f t="shared" si="137"/>
        <v>1950</v>
      </c>
      <c r="AH99" s="580">
        <v>142907</v>
      </c>
      <c r="AI99" s="580">
        <f t="shared" si="40"/>
        <v>158137.27052760639</v>
      </c>
      <c r="AJ99" s="580">
        <f t="shared" si="132"/>
        <v>24437.689472393602</v>
      </c>
      <c r="AK99" s="855">
        <v>0</v>
      </c>
      <c r="AL99" s="855">
        <v>87635.98</v>
      </c>
      <c r="AM99" s="855">
        <v>0</v>
      </c>
      <c r="AN99" s="855">
        <v>0</v>
      </c>
      <c r="AO99" s="855">
        <v>0</v>
      </c>
      <c r="AP99" s="855">
        <v>0</v>
      </c>
      <c r="AQ99" s="855">
        <v>0</v>
      </c>
      <c r="AR99" s="855">
        <v>0</v>
      </c>
      <c r="AS99" s="855">
        <v>0</v>
      </c>
      <c r="AT99" s="855">
        <v>0</v>
      </c>
      <c r="AU99" s="855">
        <v>0</v>
      </c>
      <c r="AV99" s="855">
        <v>0</v>
      </c>
      <c r="AW99" s="855">
        <v>0</v>
      </c>
      <c r="AX99" s="855">
        <v>0</v>
      </c>
      <c r="AY99" s="855">
        <v>0</v>
      </c>
      <c r="AZ99" s="855">
        <v>0</v>
      </c>
      <c r="BA99" s="855">
        <v>0</v>
      </c>
      <c r="BB99" s="855">
        <v>0</v>
      </c>
      <c r="BC99" s="855">
        <v>0</v>
      </c>
      <c r="BD99" s="855">
        <v>0</v>
      </c>
      <c r="BE99" s="855">
        <v>0</v>
      </c>
      <c r="BF99" s="855">
        <v>0</v>
      </c>
      <c r="BG99" s="855">
        <v>0</v>
      </c>
      <c r="BH99" s="855">
        <v>0</v>
      </c>
      <c r="BI99" s="855">
        <v>0</v>
      </c>
      <c r="BJ99" s="855">
        <v>0</v>
      </c>
      <c r="BK99" s="855">
        <v>0</v>
      </c>
      <c r="BL99" s="855">
        <v>0</v>
      </c>
      <c r="BM99" s="855">
        <v>0</v>
      </c>
      <c r="BN99" s="855">
        <v>0</v>
      </c>
      <c r="BO99" s="855">
        <v>0</v>
      </c>
      <c r="BP99" s="855"/>
      <c r="BQ99" s="855">
        <v>0</v>
      </c>
      <c r="BR99" s="855"/>
      <c r="BS99" s="855">
        <v>45643.74</v>
      </c>
      <c r="BT99" s="855">
        <v>12780.25</v>
      </c>
      <c r="BU99" s="855">
        <v>36514.99</v>
      </c>
      <c r="BV99" s="581">
        <f t="shared" si="142"/>
        <v>146059.97</v>
      </c>
      <c r="BW99" s="582">
        <f t="shared" si="143"/>
        <v>15230.270527606393</v>
      </c>
      <c r="BX99" s="583">
        <f t="shared" si="144"/>
        <v>9.6310442672953633E-2</v>
      </c>
    </row>
    <row r="100" spans="1:76" ht="15" hidden="1">
      <c r="A100" s="177">
        <v>244</v>
      </c>
      <c r="B100" s="609" t="s">
        <v>979</v>
      </c>
      <c r="C100" s="610" t="s">
        <v>980</v>
      </c>
      <c r="D100" s="566" t="s">
        <v>769</v>
      </c>
      <c r="E100" s="567">
        <v>45530</v>
      </c>
      <c r="F100" s="568">
        <v>3.47</v>
      </c>
      <c r="G100" s="568">
        <v>3.47</v>
      </c>
      <c r="H100" s="568">
        <v>26</v>
      </c>
      <c r="I100" s="569">
        <f t="shared" si="138"/>
        <v>1769.56</v>
      </c>
      <c r="J100" s="570">
        <f t="shared" ref="J100:J110" si="145">SUM(F100+G100)*H100</f>
        <v>180.44</v>
      </c>
      <c r="K100" s="571">
        <f t="shared" si="133"/>
        <v>135.32999999999998</v>
      </c>
      <c r="L100" s="571">
        <f t="shared" si="134"/>
        <v>45.11</v>
      </c>
      <c r="M100" s="566">
        <v>8810</v>
      </c>
      <c r="N100" s="568">
        <v>0.1716</v>
      </c>
      <c r="O100" s="602"/>
      <c r="P100" s="568"/>
      <c r="Q100" s="611">
        <f>W100</f>
        <v>23.24</v>
      </c>
      <c r="R100" s="611">
        <f t="shared" ref="R100" si="146">Q100*1.03</f>
        <v>23.937200000000001</v>
      </c>
      <c r="S100" s="612">
        <f t="shared" si="139"/>
        <v>30843.430799999998</v>
      </c>
      <c r="T100" s="612">
        <f t="shared" si="140"/>
        <v>10589.577907999999</v>
      </c>
      <c r="U100" s="612">
        <f t="shared" ref="U100:U110" si="147">S100+T100</f>
        <v>41433.008707999994</v>
      </c>
      <c r="V100" s="613">
        <f t="shared" si="141"/>
        <v>45657.885000000002</v>
      </c>
      <c r="W100" s="744">
        <v>23.24</v>
      </c>
      <c r="X100" s="576">
        <v>1</v>
      </c>
      <c r="Y100" s="566">
        <v>1016</v>
      </c>
      <c r="Z100" s="570">
        <f t="shared" ref="Z100:AB113" si="148">A100</f>
        <v>244</v>
      </c>
      <c r="AA100" s="534" t="str">
        <f t="shared" si="148"/>
        <v>Young</v>
      </c>
      <c r="AB100" s="534" t="str">
        <f t="shared" si="148"/>
        <v>Stephanie</v>
      </c>
      <c r="AD100" s="577" t="s">
        <v>981</v>
      </c>
      <c r="AE100" s="578" t="s">
        <v>980</v>
      </c>
      <c r="AF100" s="578" t="s">
        <v>982</v>
      </c>
      <c r="AG100" s="579">
        <f t="shared" ref="AG100:AG112" si="149">1950*X100</f>
        <v>1950</v>
      </c>
      <c r="AH100" s="580">
        <v>41558</v>
      </c>
      <c r="AI100" s="580">
        <f t="shared" si="40"/>
        <v>42802.733708</v>
      </c>
      <c r="AJ100" s="580">
        <f t="shared" ref="AJ100:AJ107" si="150">(Q100*K100)+(R100*L100)</f>
        <v>4224.876291999999</v>
      </c>
      <c r="AK100" s="855">
        <v>0</v>
      </c>
      <c r="AL100" s="855">
        <v>0</v>
      </c>
      <c r="AM100" s="855">
        <v>0</v>
      </c>
      <c r="AN100" s="855">
        <v>0</v>
      </c>
      <c r="AO100" s="855">
        <v>0</v>
      </c>
      <c r="AP100" s="855">
        <v>0</v>
      </c>
      <c r="AQ100" s="855">
        <v>0</v>
      </c>
      <c r="AR100" s="855">
        <v>0</v>
      </c>
      <c r="AS100" s="855">
        <v>0</v>
      </c>
      <c r="AT100" s="855">
        <v>0</v>
      </c>
      <c r="AU100" s="855">
        <v>0</v>
      </c>
      <c r="AV100" s="855">
        <v>0</v>
      </c>
      <c r="AW100" s="855">
        <v>940.55</v>
      </c>
      <c r="AX100" s="855">
        <v>2351.38</v>
      </c>
      <c r="AY100" s="855">
        <v>3291.93</v>
      </c>
      <c r="AZ100" s="855">
        <v>8464.9699999999993</v>
      </c>
      <c r="BA100" s="855">
        <v>3762.21</v>
      </c>
      <c r="BB100" s="855">
        <v>28216.57</v>
      </c>
      <c r="BC100" s="855">
        <v>0</v>
      </c>
      <c r="BD100" s="855">
        <v>0</v>
      </c>
      <c r="BE100" s="855">
        <v>0</v>
      </c>
      <c r="BF100" s="855">
        <v>0</v>
      </c>
      <c r="BG100" s="855">
        <v>0</v>
      </c>
      <c r="BH100" s="855">
        <v>0</v>
      </c>
      <c r="BI100" s="855">
        <v>0</v>
      </c>
      <c r="BJ100" s="855">
        <v>0</v>
      </c>
      <c r="BK100" s="855">
        <v>0</v>
      </c>
      <c r="BL100" s="855">
        <v>0</v>
      </c>
      <c r="BM100" s="855">
        <v>0</v>
      </c>
      <c r="BN100" s="855">
        <v>0</v>
      </c>
      <c r="BO100" s="855">
        <v>0</v>
      </c>
      <c r="BP100" s="855"/>
      <c r="BQ100" s="855">
        <v>0</v>
      </c>
      <c r="BR100" s="855"/>
      <c r="BS100" s="855">
        <v>0</v>
      </c>
      <c r="BT100" s="855">
        <v>0</v>
      </c>
      <c r="BU100" s="855">
        <v>0</v>
      </c>
      <c r="BV100" s="581">
        <f t="shared" si="142"/>
        <v>47027.61</v>
      </c>
      <c r="BW100" s="582">
        <f t="shared" si="143"/>
        <v>1244.7337079999998</v>
      </c>
      <c r="BX100" s="583">
        <f t="shared" si="144"/>
        <v>2.9080705837425391E-2</v>
      </c>
    </row>
    <row r="101" spans="1:76" ht="15" hidden="1">
      <c r="A101" s="177"/>
      <c r="B101" s="609" t="s">
        <v>983</v>
      </c>
      <c r="C101" s="610" t="s">
        <v>984</v>
      </c>
      <c r="D101" s="566"/>
      <c r="E101" s="567"/>
      <c r="F101" s="568">
        <v>3.47</v>
      </c>
      <c r="G101" s="568">
        <v>3.47</v>
      </c>
      <c r="H101" s="568">
        <v>26</v>
      </c>
      <c r="I101" s="569">
        <f t="shared" si="138"/>
        <v>1769.56</v>
      </c>
      <c r="J101" s="570">
        <f t="shared" si="145"/>
        <v>180.44</v>
      </c>
      <c r="K101" s="571">
        <f t="shared" ref="K101" si="151">J101*$K$22</f>
        <v>135.32999999999998</v>
      </c>
      <c r="L101" s="571">
        <f t="shared" ref="L101" si="152">J101*$L$22</f>
        <v>45.11</v>
      </c>
      <c r="M101" s="566">
        <v>8810</v>
      </c>
      <c r="N101" s="568">
        <v>0.1716</v>
      </c>
      <c r="O101" s="602"/>
      <c r="P101" s="568"/>
      <c r="Q101" s="611">
        <f>W101</f>
        <v>23.24</v>
      </c>
      <c r="R101" s="611">
        <f t="shared" ref="R101" si="153">Q101*1.03</f>
        <v>23.937200000000001</v>
      </c>
      <c r="S101" s="612">
        <f t="shared" si="139"/>
        <v>30843.430799999998</v>
      </c>
      <c r="T101" s="612">
        <f t="shared" si="140"/>
        <v>10589.577907999999</v>
      </c>
      <c r="U101" s="612">
        <f t="shared" si="147"/>
        <v>41433.008707999994</v>
      </c>
      <c r="V101" s="613">
        <f t="shared" si="141"/>
        <v>45657.885000000002</v>
      </c>
      <c r="W101" s="744">
        <v>23.24</v>
      </c>
      <c r="X101" s="576">
        <v>1</v>
      </c>
      <c r="Y101" s="566"/>
      <c r="Z101" s="570"/>
      <c r="AA101" s="534"/>
      <c r="AB101" s="534"/>
      <c r="AD101" s="577" t="str">
        <f>B101</f>
        <v>Vacant</v>
      </c>
      <c r="AE101" s="577" t="str">
        <f>C101</f>
        <v>EHEAP Coordinator</v>
      </c>
      <c r="AF101" s="577" t="s">
        <v>985</v>
      </c>
      <c r="AG101" s="579">
        <f t="shared" si="149"/>
        <v>1950</v>
      </c>
      <c r="AH101" s="580">
        <v>0</v>
      </c>
      <c r="AI101" s="580">
        <f t="shared" ref="AI101" si="154">SUM(AK101:BU101)-AJ101</f>
        <v>41433.013707999999</v>
      </c>
      <c r="AJ101" s="580">
        <f t="shared" si="150"/>
        <v>4224.876291999999</v>
      </c>
      <c r="AK101" s="855">
        <v>0</v>
      </c>
      <c r="AL101" s="855">
        <v>0</v>
      </c>
      <c r="AM101" s="855">
        <v>0</v>
      </c>
      <c r="AN101" s="855">
        <v>0</v>
      </c>
      <c r="AO101" s="855">
        <v>0</v>
      </c>
      <c r="AP101" s="855">
        <v>0</v>
      </c>
      <c r="AQ101" s="855">
        <v>0</v>
      </c>
      <c r="AR101" s="855">
        <v>0</v>
      </c>
      <c r="AS101" s="855">
        <v>0</v>
      </c>
      <c r="AT101" s="855">
        <v>0</v>
      </c>
      <c r="AU101" s="855">
        <v>0</v>
      </c>
      <c r="AV101" s="855">
        <v>0</v>
      </c>
      <c r="AW101" s="855">
        <v>0</v>
      </c>
      <c r="AX101" s="855">
        <v>0</v>
      </c>
      <c r="AY101" s="855">
        <v>0</v>
      </c>
      <c r="AZ101" s="855">
        <v>0</v>
      </c>
      <c r="BA101" s="855">
        <v>0</v>
      </c>
      <c r="BB101" s="855">
        <v>0</v>
      </c>
      <c r="BC101" s="855">
        <v>0</v>
      </c>
      <c r="BD101" s="855">
        <v>0</v>
      </c>
      <c r="BE101" s="855">
        <v>0</v>
      </c>
      <c r="BF101" s="855">
        <v>0</v>
      </c>
      <c r="BG101" s="855">
        <v>0</v>
      </c>
      <c r="BH101" s="855">
        <v>0</v>
      </c>
      <c r="BI101" s="855">
        <v>0</v>
      </c>
      <c r="BJ101" s="855">
        <v>0</v>
      </c>
      <c r="BK101" s="855">
        <v>0</v>
      </c>
      <c r="BL101" s="855">
        <v>0</v>
      </c>
      <c r="BM101" s="855">
        <v>0</v>
      </c>
      <c r="BN101" s="855">
        <v>0</v>
      </c>
      <c r="BO101" s="855">
        <v>45657.89</v>
      </c>
      <c r="BP101" s="855"/>
      <c r="BQ101" s="855">
        <v>0</v>
      </c>
      <c r="BR101" s="855"/>
      <c r="BS101" s="855">
        <v>0</v>
      </c>
      <c r="BT101" s="855">
        <v>0</v>
      </c>
      <c r="BU101" s="855">
        <v>0</v>
      </c>
      <c r="BV101" s="581">
        <f t="shared" ref="BV101" si="155">SUM(AK101:BU101)-BU101</f>
        <v>45657.89</v>
      </c>
      <c r="BW101" s="582">
        <f t="shared" ref="BW101" si="156">AI101-AH101</f>
        <v>41433.013707999999</v>
      </c>
      <c r="BX101" s="583">
        <f t="shared" ref="BX101" si="157">100%-(AH101/AI101)</f>
        <v>1</v>
      </c>
    </row>
    <row r="102" spans="1:76" ht="15" hidden="1">
      <c r="A102"/>
      <c r="B102" s="564" t="s">
        <v>983</v>
      </c>
      <c r="C102" s="564" t="s">
        <v>888</v>
      </c>
      <c r="D102" s="597"/>
      <c r="E102" s="598"/>
      <c r="F102" s="568">
        <v>3.47</v>
      </c>
      <c r="G102" s="568">
        <v>3.47</v>
      </c>
      <c r="H102" s="568">
        <v>26</v>
      </c>
      <c r="I102" s="569">
        <f t="shared" si="138"/>
        <v>1769.56</v>
      </c>
      <c r="J102" s="570">
        <f t="shared" si="145"/>
        <v>180.44</v>
      </c>
      <c r="K102" s="571">
        <f t="shared" ref="K102:K110" si="158">J102*$K$22</f>
        <v>135.32999999999998</v>
      </c>
      <c r="L102" s="571">
        <f t="shared" ref="L102:L110" si="159">J102*$L$22</f>
        <v>45.11</v>
      </c>
      <c r="M102" s="568">
        <v>8810</v>
      </c>
      <c r="N102" s="568">
        <v>0.1716</v>
      </c>
      <c r="O102" s="602">
        <v>1</v>
      </c>
      <c r="P102" s="568"/>
      <c r="Q102" s="572">
        <f>(W102+O102)*1.03</f>
        <v>22.66</v>
      </c>
      <c r="R102" s="572">
        <f t="shared" ref="R102:R110" si="160">Q102*1.03</f>
        <v>23.3398</v>
      </c>
      <c r="S102" s="573">
        <f t="shared" si="139"/>
        <v>30073.672200000001</v>
      </c>
      <c r="T102" s="573">
        <f t="shared" si="140"/>
        <v>10325.294121999999</v>
      </c>
      <c r="U102" s="574">
        <f t="shared" si="147"/>
        <v>40398.966322</v>
      </c>
      <c r="V102" s="575">
        <f t="shared" si="141"/>
        <v>44518.402499999997</v>
      </c>
      <c r="W102" s="747">
        <v>21</v>
      </c>
      <c r="X102" s="576">
        <v>1</v>
      </c>
      <c r="Y102" s="597">
        <v>1018</v>
      </c>
      <c r="Z102" s="570">
        <f t="shared" ref="Z102:AB105" si="161">A102</f>
        <v>0</v>
      </c>
      <c r="AA102" s="512" t="str">
        <f t="shared" si="161"/>
        <v>Vacant</v>
      </c>
      <c r="AB102" s="512" t="str">
        <f t="shared" si="161"/>
        <v>Intake Specialist</v>
      </c>
      <c r="AD102" s="577" t="str">
        <f t="shared" ref="AD102:AE105" si="162">AA102</f>
        <v>Vacant</v>
      </c>
      <c r="AE102" s="578" t="str">
        <f t="shared" si="162"/>
        <v>Intake Specialist</v>
      </c>
      <c r="AF102" s="578" t="s">
        <v>801</v>
      </c>
      <c r="AG102" s="579">
        <f t="shared" si="149"/>
        <v>1950</v>
      </c>
      <c r="AH102" s="580">
        <v>37181</v>
      </c>
      <c r="AI102" s="580">
        <f t="shared" ref="AI102" si="163">SUM(AK102:BU102)-AJ102</f>
        <v>39102.313821999996</v>
      </c>
      <c r="AJ102" s="580">
        <f t="shared" si="150"/>
        <v>4119.4361779999999</v>
      </c>
      <c r="AK102" s="855">
        <v>0</v>
      </c>
      <c r="AL102" s="855">
        <v>0</v>
      </c>
      <c r="AM102" s="855">
        <v>0</v>
      </c>
      <c r="AN102" s="855">
        <v>0</v>
      </c>
      <c r="AO102" s="855">
        <v>0</v>
      </c>
      <c r="AP102" s="855">
        <v>0</v>
      </c>
      <c r="AQ102" s="855">
        <v>0</v>
      </c>
      <c r="AR102" s="855">
        <v>0</v>
      </c>
      <c r="AS102" s="855">
        <v>0</v>
      </c>
      <c r="AT102" s="855">
        <v>0</v>
      </c>
      <c r="AU102" s="855">
        <v>0</v>
      </c>
      <c r="AV102" s="855">
        <v>0</v>
      </c>
      <c r="AW102" s="855">
        <v>0</v>
      </c>
      <c r="AX102" s="855">
        <v>0</v>
      </c>
      <c r="AY102" s="855">
        <v>0</v>
      </c>
      <c r="AZ102" s="855">
        <v>0</v>
      </c>
      <c r="BA102" s="855">
        <v>0</v>
      </c>
      <c r="BB102" s="855">
        <v>0</v>
      </c>
      <c r="BC102" s="855">
        <v>0</v>
      </c>
      <c r="BD102" s="855">
        <v>0</v>
      </c>
      <c r="BE102" s="855">
        <v>0</v>
      </c>
      <c r="BF102" s="855">
        <v>0</v>
      </c>
      <c r="BG102" s="855">
        <v>0</v>
      </c>
      <c r="BH102" s="855">
        <v>0</v>
      </c>
      <c r="BI102" s="855">
        <v>0</v>
      </c>
      <c r="BJ102" s="855">
        <v>0</v>
      </c>
      <c r="BK102" s="855">
        <v>32848.53</v>
      </c>
      <c r="BL102" s="855">
        <v>0</v>
      </c>
      <c r="BM102" s="855">
        <v>10373.219999999999</v>
      </c>
      <c r="BN102" s="855">
        <v>0</v>
      </c>
      <c r="BO102" s="855">
        <v>0</v>
      </c>
      <c r="BP102" s="855"/>
      <c r="BQ102" s="855">
        <v>0</v>
      </c>
      <c r="BR102" s="855"/>
      <c r="BS102" s="855">
        <v>0</v>
      </c>
      <c r="BT102" s="855">
        <v>0</v>
      </c>
      <c r="BU102" s="855">
        <v>0</v>
      </c>
      <c r="BV102" s="581">
        <f t="shared" si="142"/>
        <v>43221.75</v>
      </c>
      <c r="BW102" s="582">
        <f t="shared" si="143"/>
        <v>1921.3138219999964</v>
      </c>
      <c r="BX102" s="583">
        <f t="shared" si="144"/>
        <v>4.913555322444918E-2</v>
      </c>
    </row>
    <row r="103" spans="1:76" ht="15" hidden="1">
      <c r="A103"/>
      <c r="B103" s="564" t="s">
        <v>983</v>
      </c>
      <c r="C103" s="741" t="s">
        <v>888</v>
      </c>
      <c r="D103" s="732"/>
      <c r="E103" s="742"/>
      <c r="F103" s="568">
        <v>3.47</v>
      </c>
      <c r="G103" s="568">
        <v>3.47</v>
      </c>
      <c r="H103" s="568">
        <v>26</v>
      </c>
      <c r="I103" s="569">
        <f t="shared" si="138"/>
        <v>1769.56</v>
      </c>
      <c r="J103" s="570">
        <f t="shared" si="145"/>
        <v>180.44</v>
      </c>
      <c r="K103" s="571">
        <f t="shared" si="158"/>
        <v>135.32999999999998</v>
      </c>
      <c r="L103" s="571">
        <f t="shared" si="159"/>
        <v>45.11</v>
      </c>
      <c r="M103" s="568">
        <v>8810</v>
      </c>
      <c r="N103" s="568">
        <v>0.1716</v>
      </c>
      <c r="O103" s="602">
        <v>1</v>
      </c>
      <c r="P103" s="568"/>
      <c r="Q103" s="572">
        <f>(W103+O103)*1.03</f>
        <v>23.69</v>
      </c>
      <c r="R103" s="572">
        <f t="shared" si="160"/>
        <v>24.400700000000001</v>
      </c>
      <c r="S103" s="573">
        <f t="shared" si="139"/>
        <v>31440.657300000003</v>
      </c>
      <c r="T103" s="573">
        <f t="shared" si="140"/>
        <v>10794.625673</v>
      </c>
      <c r="U103" s="574">
        <f t="shared" si="147"/>
        <v>42235.282973000001</v>
      </c>
      <c r="V103" s="575">
        <f t="shared" si="141"/>
        <v>46541.966249999998</v>
      </c>
      <c r="W103" s="747">
        <v>22</v>
      </c>
      <c r="X103" s="576">
        <v>1</v>
      </c>
      <c r="Y103" s="597">
        <v>1018</v>
      </c>
      <c r="Z103" s="570">
        <f t="shared" si="161"/>
        <v>0</v>
      </c>
      <c r="AA103" s="512" t="str">
        <f t="shared" si="161"/>
        <v>Vacant</v>
      </c>
      <c r="AB103" s="512" t="str">
        <f t="shared" si="161"/>
        <v>Intake Specialist</v>
      </c>
      <c r="AD103" s="577" t="str">
        <f t="shared" si="162"/>
        <v>Vacant</v>
      </c>
      <c r="AE103" s="578" t="str">
        <f t="shared" si="162"/>
        <v>Intake Specialist</v>
      </c>
      <c r="AF103" s="578"/>
      <c r="AG103" s="579">
        <f t="shared" si="149"/>
        <v>1950</v>
      </c>
      <c r="AH103" s="580">
        <v>0</v>
      </c>
      <c r="AI103" s="580">
        <f t="shared" ref="AI103" si="164">SUM(AK103:BU103)-AJ103</f>
        <v>38915.066722999996</v>
      </c>
      <c r="AJ103" s="580">
        <f t="shared" si="150"/>
        <v>4306.6832770000001</v>
      </c>
      <c r="AK103" s="855"/>
      <c r="AL103" s="855"/>
      <c r="AM103" s="855"/>
      <c r="AN103" s="855"/>
      <c r="AO103" s="855"/>
      <c r="AP103" s="855"/>
      <c r="AQ103" s="855"/>
      <c r="AR103" s="855"/>
      <c r="AS103" s="855"/>
      <c r="AT103" s="855"/>
      <c r="AU103" s="855"/>
      <c r="AV103" s="855"/>
      <c r="AW103" s="855"/>
      <c r="AX103" s="855"/>
      <c r="AY103" s="855"/>
      <c r="AZ103" s="855"/>
      <c r="BA103" s="855"/>
      <c r="BB103" s="855"/>
      <c r="BC103" s="855"/>
      <c r="BD103" s="855"/>
      <c r="BE103" s="855"/>
      <c r="BF103" s="855"/>
      <c r="BG103" s="855"/>
      <c r="BH103" s="855"/>
      <c r="BI103" s="855"/>
      <c r="BJ103" s="855"/>
      <c r="BK103" s="855">
        <v>43221.75</v>
      </c>
      <c r="BL103" s="855">
        <v>0</v>
      </c>
      <c r="BM103" s="855">
        <v>0</v>
      </c>
      <c r="BN103" s="855">
        <v>0</v>
      </c>
      <c r="BO103" s="855">
        <v>0</v>
      </c>
      <c r="BP103" s="855"/>
      <c r="BQ103" s="855">
        <v>0</v>
      </c>
      <c r="BR103" s="855"/>
      <c r="BS103" s="855">
        <v>0</v>
      </c>
      <c r="BT103" s="855">
        <v>0</v>
      </c>
      <c r="BU103" s="855">
        <v>0</v>
      </c>
      <c r="BV103" s="581">
        <f t="shared" ref="BV103" si="165">SUM(AK103:BU103)-BU103</f>
        <v>43221.75</v>
      </c>
      <c r="BW103" s="582">
        <f t="shared" ref="BW103" si="166">AI103-AH103</f>
        <v>38915.066722999996</v>
      </c>
      <c r="BX103" s="583">
        <f t="shared" ref="BX103" si="167">100%-(AH103/AI103)</f>
        <v>1</v>
      </c>
    </row>
    <row r="104" spans="1:76" ht="15" hidden="1">
      <c r="A104"/>
      <c r="B104" s="564" t="s">
        <v>983</v>
      </c>
      <c r="C104" s="741" t="s">
        <v>986</v>
      </c>
      <c r="D104" s="732"/>
      <c r="E104" s="742"/>
      <c r="F104" s="568">
        <v>3.47</v>
      </c>
      <c r="G104" s="568">
        <v>3.47</v>
      </c>
      <c r="H104" s="568">
        <v>26</v>
      </c>
      <c r="I104" s="569">
        <f t="shared" si="138"/>
        <v>1769.56</v>
      </c>
      <c r="J104" s="570">
        <f t="shared" si="145"/>
        <v>180.44</v>
      </c>
      <c r="K104" s="571">
        <f t="shared" si="158"/>
        <v>135.32999999999998</v>
      </c>
      <c r="L104" s="571">
        <f t="shared" si="159"/>
        <v>45.11</v>
      </c>
      <c r="M104" s="568">
        <v>8810</v>
      </c>
      <c r="N104" s="568">
        <v>0.1716</v>
      </c>
      <c r="O104" s="602">
        <v>1</v>
      </c>
      <c r="P104" s="568"/>
      <c r="Q104" s="572">
        <f>(W104+O104)*1.03</f>
        <v>21.63</v>
      </c>
      <c r="R104" s="572">
        <f t="shared" si="160"/>
        <v>22.2789</v>
      </c>
      <c r="S104" s="573">
        <f t="shared" si="139"/>
        <v>28706.687099999999</v>
      </c>
      <c r="T104" s="573">
        <f t="shared" si="140"/>
        <v>9855.962571</v>
      </c>
      <c r="U104" s="574">
        <f t="shared" si="147"/>
        <v>38562.649670999999</v>
      </c>
      <c r="V104" s="575">
        <f t="shared" si="141"/>
        <v>42494.838750000003</v>
      </c>
      <c r="W104" s="747">
        <v>20</v>
      </c>
      <c r="X104" s="576">
        <v>1</v>
      </c>
      <c r="Y104" s="597">
        <v>1017</v>
      </c>
      <c r="Z104" s="570">
        <f t="shared" si="161"/>
        <v>0</v>
      </c>
      <c r="AA104" s="512" t="str">
        <f t="shared" si="161"/>
        <v>Vacant</v>
      </c>
      <c r="AB104" s="512" t="str">
        <f t="shared" si="161"/>
        <v>I&amp;R Specialist</v>
      </c>
      <c r="AD104" s="577" t="str">
        <f t="shared" si="162"/>
        <v>Vacant</v>
      </c>
      <c r="AE104" s="578" t="str">
        <f t="shared" si="162"/>
        <v>I&amp;R Specialist</v>
      </c>
      <c r="AF104" s="578" t="str">
        <f>C104</f>
        <v>I&amp;R Specialist</v>
      </c>
      <c r="AG104" s="579">
        <f t="shared" si="149"/>
        <v>1950</v>
      </c>
      <c r="AH104" s="580">
        <v>0</v>
      </c>
      <c r="AI104" s="580">
        <f t="shared" ref="AI104" si="168">SUM(AK104:BU104)-AJ104</f>
        <v>37324.930921000006</v>
      </c>
      <c r="AJ104" s="580">
        <f t="shared" si="150"/>
        <v>3932.1890789999993</v>
      </c>
      <c r="AK104" s="855">
        <v>0</v>
      </c>
      <c r="AL104" s="855">
        <v>0</v>
      </c>
      <c r="AM104" s="855">
        <v>23929.13</v>
      </c>
      <c r="AN104" s="855">
        <v>0</v>
      </c>
      <c r="AO104" s="855">
        <v>0</v>
      </c>
      <c r="AP104" s="855">
        <v>0</v>
      </c>
      <c r="AQ104" s="855">
        <v>0</v>
      </c>
      <c r="AR104" s="855">
        <v>0</v>
      </c>
      <c r="AS104" s="855">
        <v>0</v>
      </c>
      <c r="AT104" s="855">
        <v>0</v>
      </c>
      <c r="AU104" s="855">
        <v>0</v>
      </c>
      <c r="AV104" s="855">
        <v>0</v>
      </c>
      <c r="AW104" s="855">
        <v>0</v>
      </c>
      <c r="AX104" s="855">
        <v>0</v>
      </c>
      <c r="AY104" s="855">
        <v>0</v>
      </c>
      <c r="AZ104" s="855">
        <v>0</v>
      </c>
      <c r="BA104" s="855">
        <v>0</v>
      </c>
      <c r="BB104" s="855">
        <v>0</v>
      </c>
      <c r="BC104" s="855">
        <v>0</v>
      </c>
      <c r="BD104" s="855">
        <v>0</v>
      </c>
      <c r="BE104" s="855">
        <v>0</v>
      </c>
      <c r="BF104" s="855">
        <v>0</v>
      </c>
      <c r="BG104" s="855">
        <v>0</v>
      </c>
      <c r="BH104" s="855">
        <v>0</v>
      </c>
      <c r="BI104" s="855">
        <v>0</v>
      </c>
      <c r="BJ104" s="855">
        <v>17327.990000000002</v>
      </c>
      <c r="BK104" s="855">
        <v>0</v>
      </c>
      <c r="BL104" s="855">
        <v>0</v>
      </c>
      <c r="BM104" s="855">
        <v>0</v>
      </c>
      <c r="BN104" s="855">
        <v>0</v>
      </c>
      <c r="BO104" s="855">
        <v>0</v>
      </c>
      <c r="BP104" s="855"/>
      <c r="BQ104" s="855">
        <v>0</v>
      </c>
      <c r="BR104" s="855"/>
      <c r="BS104" s="855">
        <v>0</v>
      </c>
      <c r="BT104" s="855">
        <v>0</v>
      </c>
      <c r="BU104" s="855">
        <v>0</v>
      </c>
      <c r="BV104" s="581">
        <f t="shared" si="142"/>
        <v>41257.120000000003</v>
      </c>
      <c r="BW104" s="582">
        <f t="shared" si="143"/>
        <v>37324.930921000006</v>
      </c>
      <c r="BX104" s="583">
        <f t="shared" si="144"/>
        <v>1</v>
      </c>
    </row>
    <row r="105" spans="1:76" ht="15" hidden="1">
      <c r="A105"/>
      <c r="B105" s="564" t="s">
        <v>983</v>
      </c>
      <c r="C105" s="741" t="s">
        <v>986</v>
      </c>
      <c r="D105" s="732"/>
      <c r="E105" s="742"/>
      <c r="F105" s="568">
        <v>3.47</v>
      </c>
      <c r="G105" s="568">
        <v>3.47</v>
      </c>
      <c r="H105" s="568">
        <v>26</v>
      </c>
      <c r="I105" s="569">
        <f t="shared" si="138"/>
        <v>1769.56</v>
      </c>
      <c r="J105" s="570">
        <f t="shared" si="145"/>
        <v>180.44</v>
      </c>
      <c r="K105" s="571">
        <f t="shared" si="158"/>
        <v>135.32999999999998</v>
      </c>
      <c r="L105" s="571">
        <f t="shared" si="159"/>
        <v>45.11</v>
      </c>
      <c r="M105" s="568">
        <v>8810</v>
      </c>
      <c r="N105" s="568">
        <v>0.1716</v>
      </c>
      <c r="O105" s="602">
        <v>1</v>
      </c>
      <c r="P105" s="568"/>
      <c r="Q105" s="572">
        <f>(W105+O105)*1.03</f>
        <v>21.63</v>
      </c>
      <c r="R105" s="572">
        <f t="shared" si="160"/>
        <v>22.2789</v>
      </c>
      <c r="S105" s="573">
        <f t="shared" si="139"/>
        <v>28706.687099999999</v>
      </c>
      <c r="T105" s="573">
        <f t="shared" si="140"/>
        <v>9855.962571</v>
      </c>
      <c r="U105" s="574">
        <f t="shared" si="147"/>
        <v>38562.649670999999</v>
      </c>
      <c r="V105" s="575">
        <f t="shared" si="141"/>
        <v>42494.838750000003</v>
      </c>
      <c r="W105" s="747">
        <v>20</v>
      </c>
      <c r="X105" s="576">
        <v>1</v>
      </c>
      <c r="Y105" s="597">
        <v>1017</v>
      </c>
      <c r="Z105" s="570">
        <f t="shared" si="161"/>
        <v>0</v>
      </c>
      <c r="AA105" s="512" t="str">
        <f t="shared" si="161"/>
        <v>Vacant</v>
      </c>
      <c r="AB105" s="512" t="str">
        <f t="shared" si="161"/>
        <v>I&amp;R Specialist</v>
      </c>
      <c r="AD105" s="577" t="str">
        <f t="shared" si="162"/>
        <v>Vacant</v>
      </c>
      <c r="AE105" s="578" t="str">
        <f t="shared" si="162"/>
        <v>I&amp;R Specialist</v>
      </c>
      <c r="AF105" s="578" t="str">
        <f>C105</f>
        <v>I&amp;R Specialist</v>
      </c>
      <c r="AG105" s="579">
        <f t="shared" si="149"/>
        <v>1950</v>
      </c>
      <c r="AH105" s="580">
        <v>0</v>
      </c>
      <c r="AI105" s="580">
        <f t="shared" ref="AI105" si="169">SUM(AK105:BU105)-AJ105</f>
        <v>37324.930921000006</v>
      </c>
      <c r="AJ105" s="580">
        <f t="shared" si="150"/>
        <v>3932.1890789999993</v>
      </c>
      <c r="AK105" s="855">
        <v>0</v>
      </c>
      <c r="AL105" s="855">
        <v>0</v>
      </c>
      <c r="AM105" s="855">
        <v>23929.13</v>
      </c>
      <c r="AN105" s="855">
        <v>0</v>
      </c>
      <c r="AO105" s="855">
        <v>0</v>
      </c>
      <c r="AP105" s="855">
        <v>0</v>
      </c>
      <c r="AQ105" s="855">
        <v>0</v>
      </c>
      <c r="AR105" s="855">
        <v>0</v>
      </c>
      <c r="AS105" s="855">
        <v>0</v>
      </c>
      <c r="AT105" s="855">
        <v>0</v>
      </c>
      <c r="AU105" s="855">
        <v>0</v>
      </c>
      <c r="AV105" s="855">
        <v>0</v>
      </c>
      <c r="AW105" s="855">
        <v>0</v>
      </c>
      <c r="AX105" s="855">
        <v>0</v>
      </c>
      <c r="AY105" s="855">
        <v>0</v>
      </c>
      <c r="AZ105" s="855">
        <v>0</v>
      </c>
      <c r="BA105" s="855">
        <v>0</v>
      </c>
      <c r="BB105" s="855">
        <v>0</v>
      </c>
      <c r="BC105" s="855">
        <v>0</v>
      </c>
      <c r="BD105" s="855">
        <v>0</v>
      </c>
      <c r="BE105" s="855">
        <v>0</v>
      </c>
      <c r="BF105" s="855">
        <v>0</v>
      </c>
      <c r="BG105" s="855">
        <v>0</v>
      </c>
      <c r="BH105" s="855">
        <v>0</v>
      </c>
      <c r="BI105" s="855">
        <v>0</v>
      </c>
      <c r="BJ105" s="855">
        <v>17327.990000000002</v>
      </c>
      <c r="BK105" s="855">
        <v>0</v>
      </c>
      <c r="BL105" s="855">
        <v>0</v>
      </c>
      <c r="BM105" s="855">
        <v>0</v>
      </c>
      <c r="BN105" s="855">
        <v>0</v>
      </c>
      <c r="BO105" s="855">
        <v>0</v>
      </c>
      <c r="BP105" s="855"/>
      <c r="BQ105" s="855">
        <v>0</v>
      </c>
      <c r="BR105" s="855"/>
      <c r="BS105" s="855">
        <v>0</v>
      </c>
      <c r="BT105" s="855">
        <v>0</v>
      </c>
      <c r="BU105" s="855">
        <v>0</v>
      </c>
      <c r="BV105" s="581">
        <f t="shared" ref="BV105" si="170">SUM(AK105:BU105)-BU105</f>
        <v>41257.120000000003</v>
      </c>
      <c r="BW105" s="582">
        <f t="shared" ref="BW105" si="171">AI105-AH105</f>
        <v>37324.930921000006</v>
      </c>
      <c r="BX105" s="583">
        <f t="shared" ref="BX105" si="172">100%-(AH105/AI105)</f>
        <v>1</v>
      </c>
    </row>
    <row r="106" spans="1:76" ht="15" hidden="1">
      <c r="A106"/>
      <c r="B106" s="741" t="s">
        <v>983</v>
      </c>
      <c r="C106" s="741" t="s">
        <v>987</v>
      </c>
      <c r="D106" s="732"/>
      <c r="E106" s="742"/>
      <c r="F106" s="568">
        <v>3.47</v>
      </c>
      <c r="G106" s="568">
        <v>3.47</v>
      </c>
      <c r="H106" s="568">
        <v>26</v>
      </c>
      <c r="I106" s="569">
        <f t="shared" si="138"/>
        <v>1769.56</v>
      </c>
      <c r="J106" s="570">
        <f t="shared" si="145"/>
        <v>180.44</v>
      </c>
      <c r="K106" s="571">
        <f t="shared" si="158"/>
        <v>135.32999999999998</v>
      </c>
      <c r="L106" s="571">
        <f t="shared" si="159"/>
        <v>45.11</v>
      </c>
      <c r="M106" s="568">
        <v>8810</v>
      </c>
      <c r="N106" s="568">
        <v>0.1716</v>
      </c>
      <c r="O106" s="602"/>
      <c r="P106" s="568"/>
      <c r="Q106" s="572">
        <f>W106*1.03+O106</f>
        <v>41.2</v>
      </c>
      <c r="R106" s="572">
        <f t="shared" si="160"/>
        <v>42.436000000000007</v>
      </c>
      <c r="S106" s="619">
        <f t="shared" si="139"/>
        <v>54679.40400000001</v>
      </c>
      <c r="T106" s="619">
        <f t="shared" si="140"/>
        <v>18773.262040000001</v>
      </c>
      <c r="U106" s="620">
        <f t="shared" si="147"/>
        <v>73452.666040000011</v>
      </c>
      <c r="V106" s="621">
        <f t="shared" si="141"/>
        <v>80942.550000000017</v>
      </c>
      <c r="W106" s="747">
        <v>40</v>
      </c>
      <c r="X106" s="576">
        <v>1</v>
      </c>
      <c r="Y106" s="732"/>
      <c r="Z106" s="617"/>
      <c r="AA106" s="733"/>
      <c r="AB106" s="733"/>
      <c r="AD106" s="577" t="str">
        <f>B106</f>
        <v>Vacant</v>
      </c>
      <c r="AE106" s="578" t="str">
        <f>B106</f>
        <v>Vacant</v>
      </c>
      <c r="AF106" s="578" t="str">
        <f>C106</f>
        <v>HUD Coordinator</v>
      </c>
      <c r="AG106" s="579">
        <f t="shared" si="149"/>
        <v>1950</v>
      </c>
      <c r="AH106" s="580">
        <v>0</v>
      </c>
      <c r="AI106" s="580">
        <f t="shared" ref="AI106" si="173">SUM(AK106:BU106)-AJ106</f>
        <v>49051.016040000002</v>
      </c>
      <c r="AJ106" s="580">
        <f t="shared" si="150"/>
        <v>7489.8839600000001</v>
      </c>
      <c r="AK106" s="855">
        <v>0</v>
      </c>
      <c r="AL106" s="855">
        <v>0</v>
      </c>
      <c r="AM106" s="855">
        <v>0</v>
      </c>
      <c r="AN106" s="855">
        <v>0</v>
      </c>
      <c r="AO106" s="855">
        <v>0</v>
      </c>
      <c r="AP106" s="855">
        <v>0</v>
      </c>
      <c r="AQ106" s="855">
        <v>0</v>
      </c>
      <c r="AR106" s="855">
        <v>0</v>
      </c>
      <c r="AS106" s="855">
        <v>0</v>
      </c>
      <c r="AT106" s="855">
        <v>0</v>
      </c>
      <c r="AU106" s="855">
        <v>0</v>
      </c>
      <c r="AV106" s="855">
        <v>0</v>
      </c>
      <c r="AW106" s="855">
        <v>0</v>
      </c>
      <c r="AX106" s="855">
        <v>0</v>
      </c>
      <c r="AY106" s="855">
        <v>0</v>
      </c>
      <c r="AZ106" s="855">
        <v>0</v>
      </c>
      <c r="BA106" s="855">
        <v>0</v>
      </c>
      <c r="BB106" s="855">
        <v>0</v>
      </c>
      <c r="BC106" s="855">
        <v>0</v>
      </c>
      <c r="BD106" s="855">
        <v>0</v>
      </c>
      <c r="BE106" s="855">
        <v>0</v>
      </c>
      <c r="BF106" s="855">
        <v>0</v>
      </c>
      <c r="BG106" s="855">
        <v>0</v>
      </c>
      <c r="BH106" s="855">
        <v>0</v>
      </c>
      <c r="BI106" s="855">
        <v>0</v>
      </c>
      <c r="BJ106" s="855">
        <v>0</v>
      </c>
      <c r="BK106" s="855">
        <v>0</v>
      </c>
      <c r="BL106" s="855">
        <v>0</v>
      </c>
      <c r="BM106" s="855">
        <v>0</v>
      </c>
      <c r="BN106" s="855">
        <v>0</v>
      </c>
      <c r="BO106" s="855">
        <v>0</v>
      </c>
      <c r="BP106" s="855"/>
      <c r="BQ106" s="855">
        <v>0</v>
      </c>
      <c r="BR106" s="855"/>
      <c r="BS106" s="855">
        <v>0</v>
      </c>
      <c r="BT106" s="855">
        <v>0</v>
      </c>
      <c r="BU106" s="855">
        <v>56540.9</v>
      </c>
      <c r="BV106" s="581">
        <f t="shared" si="142"/>
        <v>0</v>
      </c>
      <c r="BW106" s="582">
        <f t="shared" si="143"/>
        <v>49051.016040000002</v>
      </c>
      <c r="BX106" s="583">
        <f t="shared" si="144"/>
        <v>1</v>
      </c>
    </row>
    <row r="107" spans="1:76" ht="15" hidden="1">
      <c r="A107"/>
      <c r="B107" s="741" t="s">
        <v>983</v>
      </c>
      <c r="C107" s="741" t="s">
        <v>988</v>
      </c>
      <c r="D107" s="732"/>
      <c r="E107" s="742"/>
      <c r="F107" s="568">
        <v>3.47</v>
      </c>
      <c r="G107" s="568">
        <v>3.47</v>
      </c>
      <c r="H107" s="568">
        <v>26</v>
      </c>
      <c r="I107" s="569">
        <f t="shared" si="138"/>
        <v>1769.56</v>
      </c>
      <c r="J107" s="570">
        <f t="shared" si="145"/>
        <v>180.44</v>
      </c>
      <c r="K107" s="571">
        <f t="shared" si="158"/>
        <v>135.32999999999998</v>
      </c>
      <c r="L107" s="571">
        <f t="shared" si="159"/>
        <v>45.11</v>
      </c>
      <c r="M107" s="568">
        <v>8810</v>
      </c>
      <c r="N107" s="568">
        <v>0.1716</v>
      </c>
      <c r="O107" s="602">
        <v>1</v>
      </c>
      <c r="P107" s="568"/>
      <c r="Q107" s="572">
        <f>(W107+O107)*1.03</f>
        <v>23.175000000000001</v>
      </c>
      <c r="R107" s="572">
        <f t="shared" si="160"/>
        <v>23.870250000000002</v>
      </c>
      <c r="S107" s="573">
        <f t="shared" si="139"/>
        <v>30757.164750000004</v>
      </c>
      <c r="T107" s="573">
        <f t="shared" si="140"/>
        <v>10559.959897500001</v>
      </c>
      <c r="U107" s="574">
        <f t="shared" si="147"/>
        <v>41317.124647500008</v>
      </c>
      <c r="V107" s="575">
        <f t="shared" si="141"/>
        <v>45530.184374999997</v>
      </c>
      <c r="W107" s="747">
        <v>21.5</v>
      </c>
      <c r="X107" s="576">
        <v>1</v>
      </c>
      <c r="Y107" s="732"/>
      <c r="Z107" s="617"/>
      <c r="AA107" s="733"/>
      <c r="AB107" s="733"/>
      <c r="AD107" s="577" t="str">
        <f>B107</f>
        <v>Vacant</v>
      </c>
      <c r="AE107" s="578" t="str">
        <f>B107</f>
        <v>Vacant</v>
      </c>
      <c r="AF107" s="578" t="s">
        <v>780</v>
      </c>
      <c r="AG107" s="579">
        <f t="shared" si="149"/>
        <v>1950</v>
      </c>
      <c r="AH107" s="580">
        <v>0</v>
      </c>
      <c r="AI107" s="580">
        <f t="shared" ref="AI107" si="174">SUM(AK107:BU107)-AJ107</f>
        <v>39991.000272499994</v>
      </c>
      <c r="AJ107" s="580">
        <f t="shared" si="150"/>
        <v>4213.0597275</v>
      </c>
      <c r="AK107" s="855">
        <v>0</v>
      </c>
      <c r="AL107" s="855">
        <v>0</v>
      </c>
      <c r="AM107" s="855">
        <v>0</v>
      </c>
      <c r="AN107" s="855">
        <v>0</v>
      </c>
      <c r="AO107" s="855">
        <v>0</v>
      </c>
      <c r="AP107" s="855">
        <v>0</v>
      </c>
      <c r="AQ107" s="855">
        <v>0</v>
      </c>
      <c r="AR107" s="855">
        <v>0</v>
      </c>
      <c r="AS107" s="855">
        <v>0</v>
      </c>
      <c r="AT107" s="855">
        <v>0</v>
      </c>
      <c r="AU107" s="855">
        <v>0</v>
      </c>
      <c r="AV107" s="855">
        <v>0</v>
      </c>
      <c r="AW107" s="855">
        <v>0</v>
      </c>
      <c r="AX107" s="855">
        <v>0</v>
      </c>
      <c r="AY107" s="855">
        <v>0</v>
      </c>
      <c r="AZ107" s="855">
        <v>0</v>
      </c>
      <c r="BA107" s="855">
        <v>0</v>
      </c>
      <c r="BB107" s="855">
        <v>0</v>
      </c>
      <c r="BC107" s="855">
        <v>0</v>
      </c>
      <c r="BD107" s="855">
        <v>0</v>
      </c>
      <c r="BE107" s="855">
        <v>0</v>
      </c>
      <c r="BF107" s="855">
        <v>0</v>
      </c>
      <c r="BG107" s="855">
        <v>0</v>
      </c>
      <c r="BH107" s="855">
        <v>0</v>
      </c>
      <c r="BI107" s="855">
        <v>0</v>
      </c>
      <c r="BJ107" s="855">
        <v>0</v>
      </c>
      <c r="BK107" s="855">
        <v>0</v>
      </c>
      <c r="BL107" s="855">
        <v>0</v>
      </c>
      <c r="BM107" s="855">
        <v>0</v>
      </c>
      <c r="BN107" s="855">
        <v>0</v>
      </c>
      <c r="BO107" s="855">
        <v>0</v>
      </c>
      <c r="BP107" s="855"/>
      <c r="BQ107" s="855">
        <v>0</v>
      </c>
      <c r="BR107" s="855">
        <v>44204.06</v>
      </c>
      <c r="BS107" s="855">
        <v>0</v>
      </c>
      <c r="BT107" s="855">
        <v>0</v>
      </c>
      <c r="BU107" s="855">
        <v>0</v>
      </c>
      <c r="BV107" s="581">
        <f t="shared" si="142"/>
        <v>44204.06</v>
      </c>
      <c r="BW107" s="582">
        <f t="shared" si="143"/>
        <v>39991.000272499994</v>
      </c>
      <c r="BX107" s="583">
        <f t="shared" si="144"/>
        <v>1</v>
      </c>
    </row>
    <row r="108" spans="1:76" ht="15" hidden="1">
      <c r="A108"/>
      <c r="B108" s="741" t="s">
        <v>983</v>
      </c>
      <c r="C108" s="741" t="s">
        <v>989</v>
      </c>
      <c r="D108" s="732"/>
      <c r="E108" s="742"/>
      <c r="F108" s="568">
        <v>3.47</v>
      </c>
      <c r="G108" s="568">
        <v>3.47</v>
      </c>
      <c r="H108" s="568">
        <v>26</v>
      </c>
      <c r="I108" s="569">
        <f t="shared" si="138"/>
        <v>1769.56</v>
      </c>
      <c r="J108" s="570">
        <f t="shared" si="145"/>
        <v>180.44</v>
      </c>
      <c r="K108" s="571">
        <f t="shared" si="158"/>
        <v>135.32999999999998</v>
      </c>
      <c r="L108" s="571">
        <f t="shared" si="159"/>
        <v>45.11</v>
      </c>
      <c r="M108" s="568">
        <v>8810</v>
      </c>
      <c r="N108" s="568">
        <v>0.1716</v>
      </c>
      <c r="O108" s="602"/>
      <c r="P108" s="568"/>
      <c r="Q108" s="572">
        <f>W108*1.03+O108</f>
        <v>29.694900000000001</v>
      </c>
      <c r="R108" s="572">
        <f t="shared" si="160"/>
        <v>30.585747000000001</v>
      </c>
      <c r="S108" s="619">
        <f t="shared" si="139"/>
        <v>39410.180433000001</v>
      </c>
      <c r="T108" s="619">
        <f t="shared" si="140"/>
        <v>13530.82861533</v>
      </c>
      <c r="U108" s="620">
        <f t="shared" si="147"/>
        <v>52941.009048330001</v>
      </c>
      <c r="V108" s="621">
        <f t="shared" si="141"/>
        <v>58339.342912500004</v>
      </c>
      <c r="W108" s="747">
        <v>28.83</v>
      </c>
      <c r="X108" s="576">
        <v>1</v>
      </c>
      <c r="Y108" s="732"/>
      <c r="Z108" s="617"/>
      <c r="AA108" s="733"/>
      <c r="AB108" s="733"/>
      <c r="AD108" s="577" t="str">
        <f>B108</f>
        <v>Vacant</v>
      </c>
      <c r="AE108" s="578" t="s">
        <v>983</v>
      </c>
      <c r="AF108" s="578" t="s">
        <v>944</v>
      </c>
      <c r="AG108" s="579">
        <f t="shared" si="149"/>
        <v>1950</v>
      </c>
      <c r="AH108" s="580">
        <v>0</v>
      </c>
      <c r="AI108" s="580">
        <f t="shared" ref="AI108:AI111" si="175">SUM(AK108:BU108)-AJ108</f>
        <v>55337.266135829996</v>
      </c>
      <c r="AJ108" s="580">
        <f t="shared" ref="AJ108:AJ111" si="176">(Q108*K108)+(R108*L108)</f>
        <v>5398.3338641699993</v>
      </c>
      <c r="AK108" s="855">
        <v>0</v>
      </c>
      <c r="AL108" s="855">
        <v>0</v>
      </c>
      <c r="AM108" s="855">
        <v>10325.049999999999</v>
      </c>
      <c r="AN108" s="855">
        <v>0</v>
      </c>
      <c r="AO108" s="855">
        <v>12147.12</v>
      </c>
      <c r="AP108" s="855">
        <v>0</v>
      </c>
      <c r="AQ108" s="855">
        <v>0</v>
      </c>
      <c r="AR108" s="855">
        <v>0</v>
      </c>
      <c r="AS108" s="855">
        <v>0</v>
      </c>
      <c r="AT108" s="855">
        <v>11539.76</v>
      </c>
      <c r="AU108" s="855">
        <v>0</v>
      </c>
      <c r="AV108" s="855">
        <v>0</v>
      </c>
      <c r="AW108" s="855">
        <v>0</v>
      </c>
      <c r="AX108" s="855">
        <v>0</v>
      </c>
      <c r="AY108" s="855">
        <v>0</v>
      </c>
      <c r="AZ108" s="855">
        <v>0</v>
      </c>
      <c r="BA108" s="855">
        <v>0</v>
      </c>
      <c r="BB108" s="855">
        <v>0</v>
      </c>
      <c r="BC108" s="855">
        <v>0</v>
      </c>
      <c r="BD108" s="855">
        <v>3036.78</v>
      </c>
      <c r="BE108" s="855">
        <v>8199.31</v>
      </c>
      <c r="BF108" s="855">
        <v>0</v>
      </c>
      <c r="BG108" s="855">
        <v>1518.39</v>
      </c>
      <c r="BH108" s="855">
        <v>13969.19</v>
      </c>
      <c r="BI108" s="855">
        <v>0</v>
      </c>
      <c r="BJ108" s="855">
        <v>0</v>
      </c>
      <c r="BK108" s="855">
        <v>0</v>
      </c>
      <c r="BL108" s="855">
        <v>0</v>
      </c>
      <c r="BM108" s="855">
        <v>0</v>
      </c>
      <c r="BN108" s="855">
        <v>0</v>
      </c>
      <c r="BO108" s="855">
        <v>0</v>
      </c>
      <c r="BP108" s="855"/>
      <c r="BQ108" s="855">
        <v>0</v>
      </c>
      <c r="BR108" s="855"/>
      <c r="BS108" s="855">
        <v>0</v>
      </c>
      <c r="BT108" s="855">
        <v>0</v>
      </c>
      <c r="BU108" s="855">
        <v>0</v>
      </c>
      <c r="BV108" s="581">
        <f t="shared" si="142"/>
        <v>60735.6</v>
      </c>
      <c r="BW108" s="582">
        <f t="shared" si="143"/>
        <v>55337.266135829996</v>
      </c>
      <c r="BX108" s="583">
        <f t="shared" si="144"/>
        <v>1</v>
      </c>
    </row>
    <row r="109" spans="1:76" ht="15" hidden="1">
      <c r="A109"/>
      <c r="B109" s="741" t="s">
        <v>983</v>
      </c>
      <c r="C109" s="741" t="s">
        <v>990</v>
      </c>
      <c r="D109" s="732"/>
      <c r="E109" s="742"/>
      <c r="F109" s="568">
        <v>3.47</v>
      </c>
      <c r="G109" s="568">
        <v>3.47</v>
      </c>
      <c r="H109" s="568">
        <v>26</v>
      </c>
      <c r="I109" s="569">
        <f t="shared" si="138"/>
        <v>1769.56</v>
      </c>
      <c r="J109" s="570">
        <f t="shared" si="145"/>
        <v>180.44</v>
      </c>
      <c r="K109" s="571">
        <f t="shared" si="158"/>
        <v>135.32999999999998</v>
      </c>
      <c r="L109" s="571">
        <f t="shared" si="159"/>
        <v>45.11</v>
      </c>
      <c r="M109" s="568">
        <v>8810</v>
      </c>
      <c r="N109" s="568">
        <v>0.1716</v>
      </c>
      <c r="O109" s="602">
        <v>1</v>
      </c>
      <c r="P109" s="568"/>
      <c r="Q109" s="572">
        <f>(W109+O109)*1.03</f>
        <v>22.145</v>
      </c>
      <c r="R109" s="572">
        <f t="shared" si="160"/>
        <v>22.809349999999998</v>
      </c>
      <c r="S109" s="573">
        <f t="shared" si="139"/>
        <v>29390.179650000002</v>
      </c>
      <c r="T109" s="573">
        <f t="shared" si="140"/>
        <v>10090.6283465</v>
      </c>
      <c r="U109" s="574">
        <f t="shared" si="147"/>
        <v>39480.8079965</v>
      </c>
      <c r="V109" s="575">
        <f t="shared" si="141"/>
        <v>43506.620624999996</v>
      </c>
      <c r="W109" s="748">
        <v>20.5</v>
      </c>
      <c r="X109" s="601">
        <v>1</v>
      </c>
      <c r="Y109" s="732"/>
      <c r="Z109" s="617"/>
      <c r="AA109" s="733"/>
      <c r="AB109" s="733"/>
      <c r="AD109" s="577" t="str">
        <f>B109</f>
        <v>Vacant</v>
      </c>
      <c r="AE109" s="578" t="s">
        <v>983</v>
      </c>
      <c r="AF109" s="578" t="s">
        <v>990</v>
      </c>
      <c r="AG109" s="579">
        <f t="shared" si="149"/>
        <v>1950</v>
      </c>
      <c r="AH109" s="580">
        <v>0</v>
      </c>
      <c r="AI109" s="580">
        <f t="shared" ref="AI109" si="177">SUM(AK109:BU109)-AJ109</f>
        <v>38213.627371500006</v>
      </c>
      <c r="AJ109" s="580">
        <f t="shared" ref="AJ109" si="178">(Q109*K109)+(R109*L109)</f>
        <v>4025.8126284999994</v>
      </c>
      <c r="AK109" s="855">
        <v>0</v>
      </c>
      <c r="AL109" s="855">
        <v>0</v>
      </c>
      <c r="AM109" s="855">
        <v>0</v>
      </c>
      <c r="AN109" s="855">
        <v>0</v>
      </c>
      <c r="AO109" s="855">
        <v>0</v>
      </c>
      <c r="AP109" s="855">
        <v>0</v>
      </c>
      <c r="AQ109" s="855">
        <v>0</v>
      </c>
      <c r="AR109" s="855">
        <v>0</v>
      </c>
      <c r="AS109" s="855">
        <v>0</v>
      </c>
      <c r="AT109" s="855">
        <v>0</v>
      </c>
      <c r="AU109" s="855">
        <v>0</v>
      </c>
      <c r="AV109" s="855">
        <v>0</v>
      </c>
      <c r="AW109" s="855">
        <v>0</v>
      </c>
      <c r="AX109" s="855">
        <v>0</v>
      </c>
      <c r="AY109" s="855">
        <v>0</v>
      </c>
      <c r="AZ109" s="855">
        <v>0</v>
      </c>
      <c r="BA109" s="855">
        <v>0</v>
      </c>
      <c r="BB109" s="855">
        <v>0</v>
      </c>
      <c r="BC109" s="855">
        <v>0</v>
      </c>
      <c r="BD109" s="855">
        <v>0</v>
      </c>
      <c r="BE109" s="855">
        <v>0</v>
      </c>
      <c r="BF109" s="855">
        <v>0</v>
      </c>
      <c r="BG109" s="855">
        <v>0</v>
      </c>
      <c r="BH109" s="855">
        <v>0</v>
      </c>
      <c r="BI109" s="855">
        <v>0</v>
      </c>
      <c r="BJ109" s="855">
        <v>0</v>
      </c>
      <c r="BK109" s="855">
        <v>42239.44</v>
      </c>
      <c r="BL109" s="855">
        <v>0</v>
      </c>
      <c r="BM109" s="855">
        <v>0</v>
      </c>
      <c r="BN109" s="855">
        <v>0</v>
      </c>
      <c r="BO109" s="855">
        <v>0</v>
      </c>
      <c r="BP109" s="855"/>
      <c r="BQ109" s="855">
        <v>0</v>
      </c>
      <c r="BR109" s="855"/>
      <c r="BS109" s="855">
        <v>0</v>
      </c>
      <c r="BT109" s="855">
        <v>0</v>
      </c>
      <c r="BU109" s="855">
        <v>0</v>
      </c>
      <c r="BV109" s="581">
        <f t="shared" si="142"/>
        <v>42239.44</v>
      </c>
      <c r="BW109" s="582">
        <f t="shared" si="143"/>
        <v>38213.627371500006</v>
      </c>
      <c r="BX109" s="583">
        <f t="shared" si="144"/>
        <v>1</v>
      </c>
    </row>
    <row r="110" spans="1:76" ht="15" hidden="1">
      <c r="A110"/>
      <c r="B110" s="741" t="s">
        <v>983</v>
      </c>
      <c r="C110" s="741" t="s">
        <v>991</v>
      </c>
      <c r="D110" s="732"/>
      <c r="E110" s="742"/>
      <c r="F110" s="568">
        <v>3.47</v>
      </c>
      <c r="G110" s="568">
        <v>3.47</v>
      </c>
      <c r="H110" s="568">
        <v>26</v>
      </c>
      <c r="I110" s="569">
        <f t="shared" si="138"/>
        <v>1769.56</v>
      </c>
      <c r="J110" s="570">
        <f t="shared" si="145"/>
        <v>180.44</v>
      </c>
      <c r="K110" s="571">
        <f t="shared" si="158"/>
        <v>135.32999999999998</v>
      </c>
      <c r="L110" s="571">
        <f t="shared" si="159"/>
        <v>45.11</v>
      </c>
      <c r="M110" s="568">
        <v>8810</v>
      </c>
      <c r="N110" s="568">
        <v>0.1716</v>
      </c>
      <c r="O110" s="602"/>
      <c r="P110" s="568"/>
      <c r="Q110" s="572">
        <f>W110*1.03+O110</f>
        <v>24.72</v>
      </c>
      <c r="R110" s="572">
        <f t="shared" si="160"/>
        <v>25.461600000000001</v>
      </c>
      <c r="S110" s="619">
        <f t="shared" si="139"/>
        <v>32807.642399999997</v>
      </c>
      <c r="T110" s="619">
        <f t="shared" si="140"/>
        <v>11263.957224</v>
      </c>
      <c r="U110" s="620">
        <f t="shared" si="147"/>
        <v>44071.599623999995</v>
      </c>
      <c r="V110" s="621">
        <f t="shared" si="141"/>
        <v>48565.53</v>
      </c>
      <c r="W110" s="748">
        <v>24</v>
      </c>
      <c r="X110" s="601">
        <v>1</v>
      </c>
      <c r="Y110" s="732"/>
      <c r="Z110" s="617"/>
      <c r="AA110" s="733"/>
      <c r="AB110" s="733"/>
      <c r="AD110" s="577" t="str">
        <f>B110</f>
        <v>Vacant</v>
      </c>
      <c r="AE110" s="578" t="s">
        <v>983</v>
      </c>
      <c r="AF110" s="578" t="s">
        <v>992</v>
      </c>
      <c r="AG110" s="579">
        <f t="shared" si="149"/>
        <v>1950</v>
      </c>
      <c r="AH110" s="580">
        <v>0</v>
      </c>
      <c r="AI110" s="580">
        <f t="shared" ref="AI110" si="179">SUM(AK110:BU110)-AJ110</f>
        <v>42657.069624000003</v>
      </c>
      <c r="AJ110" s="580">
        <f t="shared" ref="AJ110" si="180">(Q110*K110)+(R110*L110)</f>
        <v>4493.9303759999993</v>
      </c>
      <c r="AK110" s="855">
        <v>0</v>
      </c>
      <c r="AL110" s="855">
        <v>0</v>
      </c>
      <c r="AM110" s="855">
        <v>0</v>
      </c>
      <c r="AN110" s="855">
        <v>0</v>
      </c>
      <c r="AO110" s="855">
        <v>0</v>
      </c>
      <c r="AP110" s="855">
        <v>0</v>
      </c>
      <c r="AQ110" s="855">
        <v>0</v>
      </c>
      <c r="AR110" s="855">
        <v>0</v>
      </c>
      <c r="AS110" s="855">
        <v>0</v>
      </c>
      <c r="AT110" s="855">
        <v>0</v>
      </c>
      <c r="AU110" s="855">
        <v>0</v>
      </c>
      <c r="AV110" s="855">
        <v>0</v>
      </c>
      <c r="AW110" s="855">
        <v>0</v>
      </c>
      <c r="AX110" s="855">
        <v>0</v>
      </c>
      <c r="AY110" s="855">
        <v>0</v>
      </c>
      <c r="AZ110" s="855">
        <v>0</v>
      </c>
      <c r="BA110" s="855">
        <v>0</v>
      </c>
      <c r="BB110" s="855">
        <v>0</v>
      </c>
      <c r="BC110" s="855">
        <v>0</v>
      </c>
      <c r="BD110" s="855">
        <v>0</v>
      </c>
      <c r="BE110" s="855">
        <v>0</v>
      </c>
      <c r="BF110" s="855">
        <v>0</v>
      </c>
      <c r="BG110" s="855">
        <v>0</v>
      </c>
      <c r="BH110" s="855">
        <v>0</v>
      </c>
      <c r="BI110" s="855">
        <v>0</v>
      </c>
      <c r="BJ110" s="855">
        <v>0</v>
      </c>
      <c r="BK110" s="855">
        <v>0</v>
      </c>
      <c r="BL110" s="855">
        <v>0</v>
      </c>
      <c r="BM110" s="855">
        <v>0</v>
      </c>
      <c r="BN110" s="855">
        <v>0</v>
      </c>
      <c r="BO110" s="855">
        <v>0</v>
      </c>
      <c r="BP110" s="855"/>
      <c r="BQ110" s="855">
        <v>0</v>
      </c>
      <c r="BR110" s="855"/>
      <c r="BS110" s="855">
        <v>0</v>
      </c>
      <c r="BT110" s="855">
        <v>0</v>
      </c>
      <c r="BU110" s="855">
        <v>47151</v>
      </c>
      <c r="BV110" s="581">
        <f t="shared" ref="BV110" si="181">SUM(AK110:BU110)-BU110</f>
        <v>0</v>
      </c>
      <c r="BW110" s="582">
        <f t="shared" ref="BW110" si="182">AI110-AH110</f>
        <v>42657.069624000003</v>
      </c>
      <c r="BX110" s="583">
        <f t="shared" ref="BX110:BX111" si="183">100%-(AH110/AI110)</f>
        <v>1</v>
      </c>
    </row>
    <row r="111" spans="1:76" ht="15" hidden="1">
      <c r="A111" s="177"/>
      <c r="B111" s="614" t="str">
        <f t="shared" ref="B111" si="184">AE111</f>
        <v>Vacant</v>
      </c>
      <c r="C111" s="614" t="s">
        <v>993</v>
      </c>
      <c r="D111" s="533"/>
      <c r="E111" s="533"/>
      <c r="F111" s="615"/>
      <c r="G111" s="615"/>
      <c r="H111" s="615"/>
      <c r="I111" s="616"/>
      <c r="J111" s="617"/>
      <c r="K111" s="618"/>
      <c r="L111" s="618"/>
      <c r="M111" s="615"/>
      <c r="N111" s="615"/>
      <c r="O111" s="615"/>
      <c r="P111" s="615"/>
      <c r="Q111" s="611"/>
      <c r="R111" s="611"/>
      <c r="S111" s="612"/>
      <c r="T111" s="612"/>
      <c r="U111" s="612"/>
      <c r="V111" s="613"/>
      <c r="W111" s="749"/>
      <c r="X111" s="622"/>
      <c r="Y111" s="533">
        <v>1076</v>
      </c>
      <c r="Z111" s="617">
        <f t="shared" si="148"/>
        <v>0</v>
      </c>
      <c r="AA111" s="522" t="str">
        <f t="shared" si="148"/>
        <v>Vacant</v>
      </c>
      <c r="AB111" s="522" t="str">
        <f t="shared" si="148"/>
        <v>Controller</v>
      </c>
      <c r="AD111" s="577" t="s">
        <v>983</v>
      </c>
      <c r="AE111" s="578" t="s">
        <v>983</v>
      </c>
      <c r="AF111" s="578" t="s">
        <v>891</v>
      </c>
      <c r="AG111" s="579">
        <f t="shared" si="149"/>
        <v>0</v>
      </c>
      <c r="AH111" s="580">
        <v>86860</v>
      </c>
      <c r="AI111" s="580">
        <f t="shared" si="175"/>
        <v>0</v>
      </c>
      <c r="AJ111" s="580">
        <f t="shared" si="176"/>
        <v>0</v>
      </c>
      <c r="AK111" s="855">
        <v>0</v>
      </c>
      <c r="AL111" s="855">
        <v>0</v>
      </c>
      <c r="AM111" s="855">
        <v>0</v>
      </c>
      <c r="AN111" s="855">
        <v>0</v>
      </c>
      <c r="AO111" s="855">
        <v>0</v>
      </c>
      <c r="AP111" s="855">
        <v>0</v>
      </c>
      <c r="AQ111" s="855">
        <v>0</v>
      </c>
      <c r="AR111" s="855">
        <v>0</v>
      </c>
      <c r="AS111" s="855">
        <v>0</v>
      </c>
      <c r="AT111" s="855">
        <v>0</v>
      </c>
      <c r="AU111" s="855">
        <v>0</v>
      </c>
      <c r="AV111" s="855">
        <v>0</v>
      </c>
      <c r="AW111" s="855">
        <v>0</v>
      </c>
      <c r="AX111" s="855">
        <v>0</v>
      </c>
      <c r="AY111" s="855">
        <v>0</v>
      </c>
      <c r="AZ111" s="855">
        <v>0</v>
      </c>
      <c r="BA111" s="855">
        <v>0</v>
      </c>
      <c r="BB111" s="855">
        <v>0</v>
      </c>
      <c r="BC111" s="855">
        <v>0</v>
      </c>
      <c r="BD111" s="855">
        <v>0</v>
      </c>
      <c r="BE111" s="855">
        <v>0</v>
      </c>
      <c r="BF111" s="855">
        <v>0</v>
      </c>
      <c r="BG111" s="855">
        <v>0</v>
      </c>
      <c r="BH111" s="855">
        <v>0</v>
      </c>
      <c r="BI111" s="855">
        <v>0</v>
      </c>
      <c r="BJ111" s="855">
        <v>0</v>
      </c>
      <c r="BK111" s="855">
        <v>0</v>
      </c>
      <c r="BL111" s="855">
        <v>0</v>
      </c>
      <c r="BM111" s="855">
        <v>0</v>
      </c>
      <c r="BN111" s="855">
        <v>0</v>
      </c>
      <c r="BO111" s="855">
        <v>0</v>
      </c>
      <c r="BP111" s="855"/>
      <c r="BQ111" s="855">
        <v>0</v>
      </c>
      <c r="BR111" s="855"/>
      <c r="BS111" s="855">
        <v>0</v>
      </c>
      <c r="BT111" s="855">
        <v>0</v>
      </c>
      <c r="BU111" s="855">
        <v>0</v>
      </c>
      <c r="BV111" s="581">
        <f t="shared" si="142"/>
        <v>0</v>
      </c>
      <c r="BW111" s="582">
        <f t="shared" si="143"/>
        <v>-86860</v>
      </c>
      <c r="BX111" s="583" t="e">
        <f t="shared" si="183"/>
        <v>#DIV/0!</v>
      </c>
    </row>
    <row r="112" spans="1:76" ht="15" hidden="1">
      <c r="A112" s="177"/>
      <c r="B112" s="564" t="s">
        <v>983</v>
      </c>
      <c r="C112" s="564" t="s">
        <v>994</v>
      </c>
      <c r="D112" s="447"/>
      <c r="E112" s="447"/>
      <c r="F112" s="623"/>
      <c r="G112" s="623"/>
      <c r="H112" s="623"/>
      <c r="I112" s="624"/>
      <c r="J112" s="623"/>
      <c r="K112" s="625"/>
      <c r="L112" s="625"/>
      <c r="M112" s="623"/>
      <c r="N112" s="623"/>
      <c r="O112" s="623"/>
      <c r="P112" s="623"/>
      <c r="Q112" s="611"/>
      <c r="R112" s="611"/>
      <c r="S112" s="612"/>
      <c r="T112" s="612"/>
      <c r="U112" s="612"/>
      <c r="V112" s="613"/>
      <c r="W112" s="626"/>
      <c r="X112" s="627"/>
      <c r="Y112" s="447">
        <v>1005</v>
      </c>
      <c r="Z112" s="623"/>
      <c r="AA112" s="522" t="str">
        <f t="shared" si="148"/>
        <v>Vacant</v>
      </c>
      <c r="AB112" s="447" t="str">
        <f t="shared" si="148"/>
        <v xml:space="preserve">Chief Operating Officer </v>
      </c>
      <c r="AC112" s="628"/>
      <c r="AD112" s="577" t="s">
        <v>983</v>
      </c>
      <c r="AE112" s="578" t="s">
        <v>983</v>
      </c>
      <c r="AF112" s="578" t="s">
        <v>908</v>
      </c>
      <c r="AG112" s="579">
        <f t="shared" si="149"/>
        <v>0</v>
      </c>
      <c r="AH112" s="580">
        <v>105133</v>
      </c>
      <c r="AI112" s="580">
        <f t="shared" ref="AI112" si="185">SUM(AK112:BU112)-AJ112</f>
        <v>0</v>
      </c>
      <c r="AJ112" s="580">
        <f t="shared" ref="AJ112:AJ113" si="186">(Q112*K112)+(R112*L112)</f>
        <v>0</v>
      </c>
      <c r="AK112" s="855">
        <v>0</v>
      </c>
      <c r="AL112" s="855">
        <v>0</v>
      </c>
      <c r="AM112" s="855">
        <v>0</v>
      </c>
      <c r="AN112" s="855">
        <v>0</v>
      </c>
      <c r="AO112" s="855">
        <v>0</v>
      </c>
      <c r="AP112" s="855">
        <v>0</v>
      </c>
      <c r="AQ112" s="855">
        <v>0</v>
      </c>
      <c r="AR112" s="855">
        <v>0</v>
      </c>
      <c r="AS112" s="855">
        <v>0</v>
      </c>
      <c r="AT112" s="855">
        <v>0</v>
      </c>
      <c r="AU112" s="855">
        <v>0</v>
      </c>
      <c r="AV112" s="855">
        <v>0</v>
      </c>
      <c r="AW112" s="855">
        <v>0</v>
      </c>
      <c r="AX112" s="855">
        <v>0</v>
      </c>
      <c r="AY112" s="855">
        <v>0</v>
      </c>
      <c r="AZ112" s="855">
        <v>0</v>
      </c>
      <c r="BA112" s="855">
        <v>0</v>
      </c>
      <c r="BB112" s="855">
        <v>0</v>
      </c>
      <c r="BC112" s="855">
        <v>0</v>
      </c>
      <c r="BD112" s="855">
        <v>0</v>
      </c>
      <c r="BE112" s="855">
        <v>0</v>
      </c>
      <c r="BF112" s="855">
        <v>0</v>
      </c>
      <c r="BG112" s="855">
        <v>0</v>
      </c>
      <c r="BH112" s="855">
        <v>0</v>
      </c>
      <c r="BI112" s="855">
        <v>0</v>
      </c>
      <c r="BJ112" s="855">
        <v>0</v>
      </c>
      <c r="BK112" s="855">
        <v>0</v>
      </c>
      <c r="BL112" s="855">
        <v>0</v>
      </c>
      <c r="BM112" s="855">
        <v>0</v>
      </c>
      <c r="BN112" s="855">
        <v>0</v>
      </c>
      <c r="BO112" s="855">
        <v>0</v>
      </c>
      <c r="BP112" s="855"/>
      <c r="BQ112" s="855">
        <v>0</v>
      </c>
      <c r="BR112" s="855"/>
      <c r="BS112" s="855">
        <v>0</v>
      </c>
      <c r="BT112" s="855">
        <v>0</v>
      </c>
      <c r="BU112" s="855">
        <v>0</v>
      </c>
      <c r="BV112" s="581">
        <f t="shared" si="142"/>
        <v>0</v>
      </c>
      <c r="BW112" s="582">
        <f t="shared" si="143"/>
        <v>-105133</v>
      </c>
      <c r="BX112" s="583" t="e">
        <f t="shared" si="144"/>
        <v>#DIV/0!</v>
      </c>
    </row>
    <row r="113" spans="1:76" ht="15" hidden="1">
      <c r="A113" s="177"/>
      <c r="B113" s="594" t="s">
        <v>983</v>
      </c>
      <c r="C113" s="594" t="s">
        <v>777</v>
      </c>
      <c r="D113" s="447"/>
      <c r="E113" s="447"/>
      <c r="F113" s="623"/>
      <c r="G113" s="623"/>
      <c r="H113" s="623"/>
      <c r="I113" s="624"/>
      <c r="J113" s="623"/>
      <c r="K113" s="625"/>
      <c r="L113" s="625"/>
      <c r="M113" s="623"/>
      <c r="N113" s="623"/>
      <c r="O113" s="623"/>
      <c r="P113" s="623"/>
      <c r="Q113" s="611"/>
      <c r="R113" s="611"/>
      <c r="S113" s="612"/>
      <c r="T113" s="612"/>
      <c r="U113" s="612"/>
      <c r="V113" s="613"/>
      <c r="W113" s="626"/>
      <c r="X113" s="627"/>
      <c r="Y113" s="447">
        <v>1065</v>
      </c>
      <c r="Z113" s="623"/>
      <c r="AA113" s="522" t="str">
        <f t="shared" si="148"/>
        <v>Vacant</v>
      </c>
      <c r="AB113" s="532" t="str">
        <f t="shared" si="148"/>
        <v xml:space="preserve">VA Case Manager </v>
      </c>
      <c r="AD113" s="577" t="s">
        <v>983</v>
      </c>
      <c r="AE113" s="578" t="s">
        <v>983</v>
      </c>
      <c r="AF113" s="578" t="s">
        <v>995</v>
      </c>
      <c r="AG113" s="579">
        <v>0</v>
      </c>
      <c r="AH113" s="580">
        <v>44571</v>
      </c>
      <c r="AI113" s="580">
        <f>SUM(AK113:BU113)-AJ113</f>
        <v>0</v>
      </c>
      <c r="AJ113" s="580">
        <f t="shared" si="186"/>
        <v>0</v>
      </c>
      <c r="AK113" s="855">
        <v>0</v>
      </c>
      <c r="AL113" s="855">
        <v>0</v>
      </c>
      <c r="AM113" s="855">
        <v>0</v>
      </c>
      <c r="AN113" s="855">
        <v>0</v>
      </c>
      <c r="AO113" s="855">
        <v>0</v>
      </c>
      <c r="AP113" s="855">
        <v>0</v>
      </c>
      <c r="AQ113" s="855">
        <v>0</v>
      </c>
      <c r="AR113" s="855">
        <v>0</v>
      </c>
      <c r="AS113" s="855">
        <v>0</v>
      </c>
      <c r="AT113" s="855">
        <v>0</v>
      </c>
      <c r="AU113" s="855">
        <v>0</v>
      </c>
      <c r="AV113" s="855">
        <v>0</v>
      </c>
      <c r="AW113" s="855">
        <v>0</v>
      </c>
      <c r="AX113" s="855">
        <v>0</v>
      </c>
      <c r="AY113" s="855">
        <v>0</v>
      </c>
      <c r="AZ113" s="855">
        <v>0</v>
      </c>
      <c r="BA113" s="855">
        <v>0</v>
      </c>
      <c r="BB113" s="855">
        <v>0</v>
      </c>
      <c r="BC113" s="855">
        <v>0</v>
      </c>
      <c r="BD113" s="855">
        <v>0</v>
      </c>
      <c r="BE113" s="855">
        <v>0</v>
      </c>
      <c r="BF113" s="855">
        <v>0</v>
      </c>
      <c r="BG113" s="855">
        <v>0</v>
      </c>
      <c r="BH113" s="855">
        <v>0</v>
      </c>
      <c r="BI113" s="855">
        <v>0</v>
      </c>
      <c r="BJ113" s="855">
        <v>0</v>
      </c>
      <c r="BK113" s="855">
        <v>0</v>
      </c>
      <c r="BL113" s="855">
        <v>0</v>
      </c>
      <c r="BM113" s="855">
        <v>0</v>
      </c>
      <c r="BN113" s="855">
        <v>0</v>
      </c>
      <c r="BO113" s="855">
        <v>0</v>
      </c>
      <c r="BP113" s="855"/>
      <c r="BQ113" s="855">
        <v>0</v>
      </c>
      <c r="BR113" s="855"/>
      <c r="BS113" s="855">
        <v>0</v>
      </c>
      <c r="BT113" s="855">
        <v>0</v>
      </c>
      <c r="BU113" s="855">
        <v>0</v>
      </c>
      <c r="BV113" s="581">
        <f t="shared" si="142"/>
        <v>0</v>
      </c>
      <c r="BW113" s="582">
        <f t="shared" si="143"/>
        <v>-44571</v>
      </c>
      <c r="BX113" s="583" t="e">
        <f t="shared" si="144"/>
        <v>#DIV/0!</v>
      </c>
    </row>
    <row r="114" spans="1:76" hidden="1">
      <c r="V114" s="629">
        <f>SUM(V24:V111)</f>
        <v>4347395.813214751</v>
      </c>
      <c r="W114" s="629">
        <f>SUM(W24:W110)</f>
        <v>2149.0322666666671</v>
      </c>
      <c r="AD114" s="577" t="s">
        <v>996</v>
      </c>
      <c r="AE114" s="630"/>
      <c r="AF114" s="630"/>
      <c r="AG114" s="631"/>
      <c r="AH114" s="580">
        <v>21617</v>
      </c>
      <c r="AI114" s="580">
        <f>SUM(AK114:BU114)-AJ114</f>
        <v>33748.819999999992</v>
      </c>
      <c r="AJ114" s="580">
        <v>0</v>
      </c>
      <c r="AK114" s="855">
        <v>0</v>
      </c>
      <c r="AL114" s="855">
        <v>1867.32</v>
      </c>
      <c r="AM114" s="855">
        <v>4796.74</v>
      </c>
      <c r="AN114" s="855">
        <v>0</v>
      </c>
      <c r="AO114" s="855">
        <v>1362.57</v>
      </c>
      <c r="AP114" s="855">
        <v>0</v>
      </c>
      <c r="AQ114" s="855">
        <v>0</v>
      </c>
      <c r="AR114" s="855">
        <v>0</v>
      </c>
      <c r="AS114" s="855">
        <v>0</v>
      </c>
      <c r="AT114" s="855">
        <v>0</v>
      </c>
      <c r="AU114" s="855">
        <v>0</v>
      </c>
      <c r="AV114" s="855">
        <v>0</v>
      </c>
      <c r="AW114" s="855">
        <v>0</v>
      </c>
      <c r="AX114" s="855">
        <v>0</v>
      </c>
      <c r="AY114" s="855">
        <v>0</v>
      </c>
      <c r="AZ114" s="855">
        <v>0</v>
      </c>
      <c r="BA114" s="855">
        <v>0</v>
      </c>
      <c r="BB114" s="855">
        <v>0</v>
      </c>
      <c r="BC114" s="855">
        <v>0</v>
      </c>
      <c r="BD114" s="855">
        <v>108.08</v>
      </c>
      <c r="BE114" s="855">
        <v>138.91</v>
      </c>
      <c r="BF114" s="855">
        <v>0</v>
      </c>
      <c r="BG114" s="855">
        <v>2439.96</v>
      </c>
      <c r="BH114" s="855">
        <v>802.44</v>
      </c>
      <c r="BI114" s="855">
        <v>278.35000000000002</v>
      </c>
      <c r="BJ114" s="855">
        <v>3573.9</v>
      </c>
      <c r="BK114" s="855">
        <v>11174.64</v>
      </c>
      <c r="BL114" s="855">
        <v>0</v>
      </c>
      <c r="BM114" s="855">
        <v>4751.1000000000004</v>
      </c>
      <c r="BN114" s="855">
        <v>49.61</v>
      </c>
      <c r="BO114" s="855">
        <v>0</v>
      </c>
      <c r="BP114" s="855"/>
      <c r="BQ114" s="855">
        <v>905.2</v>
      </c>
      <c r="BR114" s="855"/>
      <c r="BS114" s="855">
        <v>0</v>
      </c>
      <c r="BT114" s="855">
        <v>0</v>
      </c>
      <c r="BU114" s="855">
        <f>750+750</f>
        <v>1500</v>
      </c>
      <c r="BV114" s="581">
        <f t="shared" si="142"/>
        <v>32248.819999999992</v>
      </c>
      <c r="BW114" s="582">
        <f t="shared" si="143"/>
        <v>12131.819999999992</v>
      </c>
      <c r="BX114" s="583">
        <f t="shared" si="144"/>
        <v>0.3594739016060412</v>
      </c>
    </row>
    <row r="115" spans="1:76" hidden="1">
      <c r="AD115" s="577" t="s">
        <v>997</v>
      </c>
      <c r="AE115" s="630"/>
      <c r="AF115" s="630"/>
      <c r="AG115" s="631"/>
      <c r="AH115" s="580">
        <v>468012</v>
      </c>
      <c r="AI115" s="580">
        <f>AJ116</f>
        <v>515624.06450395164</v>
      </c>
      <c r="AJ115" s="580">
        <v>0</v>
      </c>
      <c r="AK115" s="855">
        <v>0</v>
      </c>
      <c r="AL115" s="855">
        <v>0</v>
      </c>
      <c r="AM115" s="855">
        <v>0</v>
      </c>
      <c r="AN115" s="855">
        <v>0</v>
      </c>
      <c r="AO115" s="855">
        <v>0</v>
      </c>
      <c r="AP115" s="855">
        <v>0</v>
      </c>
      <c r="AQ115" s="855">
        <v>0</v>
      </c>
      <c r="AR115" s="855">
        <v>0</v>
      </c>
      <c r="AS115" s="855">
        <v>0</v>
      </c>
      <c r="AT115" s="855">
        <v>0</v>
      </c>
      <c r="AU115" s="855">
        <v>0</v>
      </c>
      <c r="AV115" s="855">
        <v>0</v>
      </c>
      <c r="AW115" s="855">
        <v>0</v>
      </c>
      <c r="AX115" s="855">
        <v>0</v>
      </c>
      <c r="AY115" s="855">
        <v>0</v>
      </c>
      <c r="AZ115" s="855">
        <v>0</v>
      </c>
      <c r="BA115" s="855">
        <v>0</v>
      </c>
      <c r="BB115" s="855">
        <v>0</v>
      </c>
      <c r="BC115" s="855">
        <v>0</v>
      </c>
      <c r="BD115" s="855">
        <v>0</v>
      </c>
      <c r="BE115" s="855">
        <v>0</v>
      </c>
      <c r="BF115" s="855">
        <v>0</v>
      </c>
      <c r="BG115" s="855">
        <v>0</v>
      </c>
      <c r="BH115" s="855">
        <v>0</v>
      </c>
      <c r="BI115" s="855">
        <v>0</v>
      </c>
      <c r="BJ115" s="855">
        <v>0</v>
      </c>
      <c r="BK115" s="855">
        <v>0</v>
      </c>
      <c r="BL115" s="855">
        <v>0</v>
      </c>
      <c r="BM115" s="855">
        <v>0</v>
      </c>
      <c r="BN115" s="855">
        <v>0</v>
      </c>
      <c r="BO115" s="855">
        <v>0</v>
      </c>
      <c r="BP115" s="855"/>
      <c r="BQ115" s="855">
        <v>0</v>
      </c>
      <c r="BR115" s="855"/>
      <c r="BS115" s="855">
        <v>0</v>
      </c>
      <c r="BT115" s="855">
        <v>0</v>
      </c>
      <c r="BU115" s="855">
        <v>0</v>
      </c>
      <c r="BV115" s="581">
        <f t="shared" si="142"/>
        <v>0</v>
      </c>
      <c r="BW115" s="582">
        <f t="shared" si="143"/>
        <v>47612.064503951638</v>
      </c>
      <c r="BX115" s="583">
        <f t="shared" si="144"/>
        <v>9.2338716870703275E-2</v>
      </c>
    </row>
    <row r="116" spans="1:76" s="6" customFormat="1" ht="23.1" hidden="1" customHeight="1">
      <c r="AD116" s="174" t="s">
        <v>998</v>
      </c>
      <c r="AE116" s="632"/>
      <c r="AF116" s="632"/>
      <c r="AG116" s="633"/>
      <c r="AH116" s="581">
        <f>SUM(AH24:AH115)+1</f>
        <v>4049905</v>
      </c>
      <c r="AI116" s="581">
        <f>SUM(AI24:AI115)</f>
        <v>4409133.9799999995</v>
      </c>
      <c r="AJ116" s="581">
        <f t="shared" ref="AJ116:BU116" si="187">SUM(AJ24:AJ115)</f>
        <v>515624.06450395164</v>
      </c>
      <c r="AK116" s="581">
        <f t="shared" si="187"/>
        <v>106865.04999999999</v>
      </c>
      <c r="AL116" s="581">
        <f t="shared" si="187"/>
        <v>503760.98999999993</v>
      </c>
      <c r="AM116" s="581">
        <f t="shared" si="187"/>
        <v>338330.47</v>
      </c>
      <c r="AN116" s="581">
        <f t="shared" si="187"/>
        <v>118846.33</v>
      </c>
      <c r="AO116" s="581">
        <f t="shared" si="187"/>
        <v>93476.97</v>
      </c>
      <c r="AP116" s="581">
        <f t="shared" si="187"/>
        <v>34150.699999999997</v>
      </c>
      <c r="AQ116" s="581">
        <f t="shared" si="187"/>
        <v>2476.5100000000002</v>
      </c>
      <c r="AR116" s="581">
        <f t="shared" si="187"/>
        <v>8978.5499999999993</v>
      </c>
      <c r="AS116" s="581">
        <f t="shared" si="187"/>
        <v>6389.81</v>
      </c>
      <c r="AT116" s="581">
        <f t="shared" si="187"/>
        <v>94440.709999999992</v>
      </c>
      <c r="AU116" s="581">
        <f t="shared" si="187"/>
        <v>0</v>
      </c>
      <c r="AV116" s="581">
        <f t="shared" si="187"/>
        <v>0</v>
      </c>
      <c r="AW116" s="581">
        <f t="shared" si="187"/>
        <v>5912.85</v>
      </c>
      <c r="AX116" s="581">
        <f t="shared" si="187"/>
        <v>5089.87</v>
      </c>
      <c r="AY116" s="581">
        <f t="shared" si="187"/>
        <v>6712.36</v>
      </c>
      <c r="AZ116" s="581">
        <f t="shared" si="187"/>
        <v>8464.9699999999993</v>
      </c>
      <c r="BA116" s="581">
        <f t="shared" si="187"/>
        <v>6404.17</v>
      </c>
      <c r="BB116" s="581">
        <f t="shared" si="187"/>
        <v>44001.18</v>
      </c>
      <c r="BC116" s="581">
        <f t="shared" si="187"/>
        <v>13767.11</v>
      </c>
      <c r="BD116" s="581">
        <f t="shared" si="187"/>
        <v>179976.92</v>
      </c>
      <c r="BE116" s="581">
        <f t="shared" si="187"/>
        <v>22302.100000000002</v>
      </c>
      <c r="BF116" s="581">
        <f t="shared" si="187"/>
        <v>18433.86</v>
      </c>
      <c r="BG116" s="581">
        <f t="shared" si="187"/>
        <v>23401.17</v>
      </c>
      <c r="BH116" s="581">
        <f t="shared" si="187"/>
        <v>43409.37</v>
      </c>
      <c r="BI116" s="581">
        <f>SUM(BI24:BI115)</f>
        <v>44704.95</v>
      </c>
      <c r="BJ116" s="581">
        <f>SUM(BJ24:BJ115)</f>
        <v>179883.00999999998</v>
      </c>
      <c r="BK116" s="581">
        <f t="shared" si="187"/>
        <v>683791.7300000001</v>
      </c>
      <c r="BL116" s="581">
        <f t="shared" si="187"/>
        <v>58929.010000000009</v>
      </c>
      <c r="BM116" s="581">
        <f t="shared" si="187"/>
        <v>187220.00000000003</v>
      </c>
      <c r="BN116" s="581">
        <f t="shared" si="187"/>
        <v>51431.72</v>
      </c>
      <c r="BO116" s="581">
        <f t="shared" si="187"/>
        <v>75067.62</v>
      </c>
      <c r="BP116" s="581">
        <f t="shared" si="187"/>
        <v>0</v>
      </c>
      <c r="BQ116" s="581">
        <f t="shared" si="187"/>
        <v>130008.43</v>
      </c>
      <c r="BR116" s="581">
        <f t="shared" si="187"/>
        <v>283948.20999999996</v>
      </c>
      <c r="BS116" s="581">
        <f t="shared" si="187"/>
        <v>217265.49</v>
      </c>
      <c r="BT116" s="581">
        <f t="shared" si="187"/>
        <v>209320.83000000002</v>
      </c>
      <c r="BU116" s="581">
        <f t="shared" si="187"/>
        <v>601970.96</v>
      </c>
      <c r="BV116" s="581">
        <f t="shared" ref="BV116" si="188">SUM(AK116:BU116)-BU116</f>
        <v>3807163.0200000014</v>
      </c>
      <c r="BW116" s="581">
        <f>SUM(BW24:BW115)</f>
        <v>359229.98000000021</v>
      </c>
      <c r="BX116" s="634">
        <f>BW116/AH116</f>
        <v>8.8700841130841396E-2</v>
      </c>
    </row>
    <row r="117" spans="1:76" s="6" customFormat="1" ht="23.1" hidden="1" customHeight="1">
      <c r="AD117" s="175" t="s">
        <v>999</v>
      </c>
      <c r="AE117" s="635"/>
      <c r="AF117" s="635"/>
      <c r="AG117" s="636">
        <f>SUM(AG41:AG115)</f>
        <v>112840</v>
      </c>
      <c r="AH117" s="120"/>
      <c r="AI117" s="120"/>
      <c r="AJ117" s="120"/>
      <c r="AK117" s="120"/>
      <c r="AL117" s="120"/>
      <c r="AM117" s="120"/>
      <c r="AN117" s="120"/>
      <c r="AO117" s="120"/>
      <c r="AP117" s="120"/>
      <c r="AQ117" s="120"/>
      <c r="AR117" s="120"/>
      <c r="AS117" s="120"/>
      <c r="AT117" s="120"/>
      <c r="AU117" s="120"/>
      <c r="AV117" s="120"/>
      <c r="AW117" s="120"/>
      <c r="AX117" s="120"/>
      <c r="AY117" s="120"/>
      <c r="AZ117" s="120"/>
      <c r="BA117" s="120"/>
      <c r="BB117" s="120"/>
      <c r="BC117" s="120"/>
      <c r="BD117" s="120"/>
      <c r="BE117" s="120"/>
      <c r="BF117" s="120"/>
      <c r="BG117" s="120"/>
      <c r="BH117" s="120"/>
      <c r="BI117" s="120"/>
      <c r="BJ117" s="120"/>
      <c r="BK117" s="120"/>
      <c r="BL117" s="120"/>
      <c r="BM117" s="120"/>
      <c r="BN117" s="120"/>
      <c r="BO117" s="120"/>
      <c r="BP117" s="120"/>
      <c r="BQ117" s="120"/>
      <c r="BR117" s="120"/>
      <c r="BS117" s="120"/>
      <c r="BT117" s="120"/>
      <c r="BU117" s="120"/>
      <c r="BV117" s="120"/>
      <c r="BW117" s="279"/>
      <c r="BX117" s="439"/>
    </row>
    <row r="118" spans="1:76" ht="15.75" hidden="1">
      <c r="AD118" s="887" t="s">
        <v>1000</v>
      </c>
      <c r="AE118" s="887"/>
      <c r="AF118" s="887"/>
      <c r="AG118" s="887"/>
      <c r="AH118" s="887"/>
      <c r="AI118" s="887"/>
      <c r="AJ118" s="887"/>
      <c r="AK118" s="887"/>
      <c r="AL118" s="887"/>
      <c r="AM118" s="887"/>
      <c r="AN118" s="887"/>
      <c r="AO118" s="887"/>
      <c r="AP118" s="887"/>
      <c r="AQ118" s="887"/>
      <c r="AR118" s="887"/>
      <c r="AS118" s="887"/>
      <c r="AT118" s="887"/>
      <c r="AU118" s="887"/>
      <c r="AV118" s="887"/>
      <c r="AW118" s="887"/>
      <c r="AX118" s="887"/>
      <c r="AY118" s="887"/>
      <c r="AZ118" s="887"/>
      <c r="BA118" s="887"/>
      <c r="BB118" s="887"/>
      <c r="BC118" s="887"/>
      <c r="BD118" s="887"/>
      <c r="BE118" s="887"/>
      <c r="BF118" s="887"/>
      <c r="BG118" s="887"/>
      <c r="BH118" s="887"/>
      <c r="BI118" s="887"/>
      <c r="BJ118" s="887"/>
      <c r="BK118" s="887"/>
      <c r="BL118" s="887"/>
      <c r="BM118" s="887"/>
      <c r="BN118" s="887"/>
      <c r="BO118" s="887"/>
      <c r="BP118" s="887"/>
      <c r="BQ118" s="887"/>
      <c r="BR118" s="887"/>
      <c r="BS118" s="887"/>
      <c r="BT118" s="887"/>
      <c r="BU118" s="467"/>
      <c r="BV118" s="6"/>
      <c r="BW118" s="6"/>
      <c r="BX118" s="6"/>
    </row>
    <row r="119" spans="1:76" ht="15.75" hidden="1">
      <c r="AD119" s="888" t="s">
        <v>1001</v>
      </c>
      <c r="AE119" s="888"/>
      <c r="AF119" s="888"/>
      <c r="AG119" s="888"/>
      <c r="AH119" s="888"/>
      <c r="AI119" s="888"/>
      <c r="AJ119" s="888"/>
      <c r="AK119" s="888"/>
      <c r="AL119" s="888"/>
      <c r="AM119" s="888"/>
      <c r="AN119" s="888"/>
      <c r="AO119" s="888"/>
      <c r="AP119" s="888"/>
      <c r="AQ119" s="888"/>
      <c r="AR119" s="888"/>
      <c r="AS119" s="888"/>
      <c r="AT119" s="888"/>
      <c r="AU119" s="888"/>
      <c r="AV119" s="888"/>
      <c r="AW119" s="888"/>
      <c r="AX119" s="888"/>
      <c r="AY119" s="888"/>
      <c r="AZ119" s="888"/>
      <c r="BA119" s="888"/>
      <c r="BB119" s="888"/>
      <c r="BC119" s="888"/>
      <c r="BD119" s="888"/>
      <c r="BE119" s="888"/>
      <c r="BF119" s="888"/>
      <c r="BG119" s="888"/>
      <c r="BH119" s="6"/>
      <c r="BI119" s="6"/>
      <c r="BJ119" s="6"/>
      <c r="BK119" s="6"/>
      <c r="BL119" s="6"/>
      <c r="BM119" s="6"/>
      <c r="BN119" s="6"/>
      <c r="BO119" s="6"/>
      <c r="BP119" s="6"/>
      <c r="BQ119" s="6"/>
      <c r="BR119" s="6"/>
      <c r="BS119" s="6"/>
      <c r="BT119" s="6"/>
      <c r="BU119" s="6"/>
      <c r="BV119" s="6"/>
      <c r="BW119" s="6"/>
      <c r="BX119" s="6"/>
    </row>
    <row r="120" spans="1:76" hidden="1"/>
    <row r="121" spans="1:76" ht="15.75" hidden="1" customHeight="1">
      <c r="AD121" s="22"/>
      <c r="AE121" s="22"/>
      <c r="AF121" s="22"/>
      <c r="AG121" s="22"/>
      <c r="AH121" s="22"/>
      <c r="AI121" s="22"/>
      <c r="AJ121" s="22"/>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4"/>
      <c r="BM121" s="94"/>
      <c r="BN121" s="94"/>
      <c r="BO121" s="94"/>
      <c r="BP121" s="94"/>
      <c r="BQ121" s="94"/>
      <c r="BR121" s="94"/>
      <c r="BS121" s="94"/>
    </row>
    <row r="122" spans="1:76" ht="15" hidden="1" customHeight="1">
      <c r="AD122" s="889" t="s">
        <v>1002</v>
      </c>
      <c r="AE122" s="889"/>
      <c r="AF122" s="889"/>
      <c r="AG122" s="889"/>
      <c r="BE122" s="347"/>
      <c r="BF122" s="347"/>
      <c r="BG122" s="347"/>
      <c r="BH122" s="347"/>
      <c r="BL122" s="347"/>
      <c r="BM122" s="347"/>
    </row>
    <row r="123" spans="1:76" ht="24" hidden="1">
      <c r="AD123" s="263"/>
      <c r="AE123" s="264"/>
      <c r="AF123" s="264"/>
      <c r="AG123" s="264"/>
      <c r="AH123" s="294" t="s">
        <v>616</v>
      </c>
      <c r="AI123" s="294" t="s">
        <v>616</v>
      </c>
      <c r="AJ123" s="294" t="str" cm="1">
        <f t="array" ref="AJ123:AJ125">AJ21:AJ23</f>
        <v xml:space="preserve">TOTAL </v>
      </c>
      <c r="AK123" s="294" t="s">
        <v>31</v>
      </c>
      <c r="AL123" s="294" t="s">
        <v>693</v>
      </c>
      <c r="AM123" s="294" t="s">
        <v>31</v>
      </c>
      <c r="AN123" s="294" t="str" cm="1">
        <f t="array" ref="AN123:AN125">AN21:AN23</f>
        <v xml:space="preserve">TITLE </v>
      </c>
      <c r="AO123" s="294" t="str" cm="1">
        <f t="array" ref="AO123:AO125">AO21:AO23</f>
        <v xml:space="preserve">TITLE </v>
      </c>
      <c r="AP123" s="294" t="str" cm="1">
        <f t="array" ref="AP123:AP125">AP21:AP23</f>
        <v xml:space="preserve">TITLE </v>
      </c>
      <c r="AQ123" s="294" t="str" cm="1">
        <f t="array" ref="AQ123:AQ125">AQ21:AQ23</f>
        <v xml:space="preserve">TITLE </v>
      </c>
      <c r="AR123" s="294" t="str" cm="1">
        <f t="array" ref="AR123:AR125">AR21:AR23</f>
        <v xml:space="preserve">TITLE </v>
      </c>
      <c r="AS123" s="294" t="str" cm="1">
        <f t="array" ref="AS123:AS125">AS21:AS23</f>
        <v xml:space="preserve">TITLE </v>
      </c>
      <c r="AT123" s="294" t="str" cm="1">
        <f t="array" ref="AT123:AT125">AT21:AT23</f>
        <v xml:space="preserve">TITLE </v>
      </c>
      <c r="AU123" s="294" t="str" cm="1">
        <f t="array" ref="AU123:AU125">AU21:AU23</f>
        <v>TITLE</v>
      </c>
      <c r="AV123" s="294" t="s">
        <v>31</v>
      </c>
      <c r="AW123" s="294" t="s">
        <v>31</v>
      </c>
      <c r="AX123" s="166" t="s">
        <v>690</v>
      </c>
      <c r="AY123" s="166" t="s">
        <v>690</v>
      </c>
      <c r="AZ123" s="166" t="s">
        <v>690</v>
      </c>
      <c r="BA123" s="166" t="s">
        <v>690</v>
      </c>
      <c r="BB123" s="166" t="s">
        <v>690</v>
      </c>
      <c r="BC123" s="294" t="s">
        <v>31</v>
      </c>
      <c r="BD123" s="294" t="s">
        <v>31</v>
      </c>
      <c r="BE123" s="294" t="s">
        <v>379</v>
      </c>
      <c r="BF123" s="294" t="s">
        <v>379</v>
      </c>
      <c r="BG123" s="294" t="s">
        <v>379</v>
      </c>
      <c r="BH123" s="294" t="s">
        <v>694</v>
      </c>
      <c r="BI123" s="295" t="s">
        <v>302</v>
      </c>
      <c r="BJ123" s="167" t="s">
        <v>302</v>
      </c>
      <c r="BK123" s="295" t="s">
        <v>302</v>
      </c>
      <c r="BL123" s="294" t="s">
        <v>126</v>
      </c>
      <c r="BM123" s="166" t="s">
        <v>126</v>
      </c>
      <c r="BN123" s="295" t="s">
        <v>350</v>
      </c>
      <c r="BO123" s="294" t="s">
        <v>78</v>
      </c>
      <c r="BP123" s="295" t="s">
        <v>78</v>
      </c>
      <c r="BQ123" s="295" t="s">
        <v>695</v>
      </c>
      <c r="BR123" s="294" t="s">
        <v>696</v>
      </c>
      <c r="BS123" s="294" t="s">
        <v>71</v>
      </c>
      <c r="BT123" s="295" t="s">
        <v>697</v>
      </c>
      <c r="BU123" s="294" t="s">
        <v>674</v>
      </c>
      <c r="BV123" s="294" t="s">
        <v>1003</v>
      </c>
      <c r="BW123" s="296" t="s">
        <v>616</v>
      </c>
      <c r="BX123" s="440" t="s">
        <v>698</v>
      </c>
    </row>
    <row r="124" spans="1:76" ht="12.75" hidden="1" customHeight="1">
      <c r="AD124" s="265"/>
      <c r="AE124" s="9"/>
      <c r="AF124" s="9"/>
      <c r="AG124" s="9"/>
      <c r="AH124" s="297" t="s">
        <v>707</v>
      </c>
      <c r="AI124" s="297" t="s">
        <v>707</v>
      </c>
      <c r="AJ124" s="297" t="str">
        <v>LEAVE $</v>
      </c>
      <c r="AK124" s="297" t="s">
        <v>36</v>
      </c>
      <c r="AL124" s="297" t="s">
        <v>30</v>
      </c>
      <c r="AM124" s="297" t="s">
        <v>36</v>
      </c>
      <c r="AN124" s="297" t="str">
        <v>IIIB</v>
      </c>
      <c r="AO124" s="297" t="str">
        <v>IIIB</v>
      </c>
      <c r="AP124" s="297" t="str">
        <v xml:space="preserve">IIIB </v>
      </c>
      <c r="AQ124" s="297" t="str">
        <v>IIIB</v>
      </c>
      <c r="AR124" s="637" t="str">
        <v>IIIB</v>
      </c>
      <c r="AS124" s="297" t="str">
        <v xml:space="preserve">IIIB </v>
      </c>
      <c r="AT124" s="297" t="str">
        <v>IIIB</v>
      </c>
      <c r="AU124" s="297" t="str">
        <v>IIIB</v>
      </c>
      <c r="AV124" s="297" t="s">
        <v>36</v>
      </c>
      <c r="AW124" s="297" t="s">
        <v>40</v>
      </c>
      <c r="AX124" s="169" t="s">
        <v>40</v>
      </c>
      <c r="AY124" s="169" t="s">
        <v>40</v>
      </c>
      <c r="AZ124" s="169" t="s">
        <v>40</v>
      </c>
      <c r="BA124" s="169" t="s">
        <v>40</v>
      </c>
      <c r="BB124" s="169" t="s">
        <v>40</v>
      </c>
      <c r="BC124" s="297" t="s">
        <v>43</v>
      </c>
      <c r="BD124" s="297" t="s">
        <v>41</v>
      </c>
      <c r="BE124" s="297" t="s">
        <v>35</v>
      </c>
      <c r="BF124" s="297" t="s">
        <v>158</v>
      </c>
      <c r="BG124" s="297" t="s">
        <v>753</v>
      </c>
      <c r="BH124" s="297" t="s">
        <v>738</v>
      </c>
      <c r="BI124" s="297" t="s">
        <v>35</v>
      </c>
      <c r="BJ124" s="169" t="s">
        <v>738</v>
      </c>
      <c r="BK124" s="297" t="s">
        <v>739</v>
      </c>
      <c r="BL124" s="297" t="s">
        <v>35</v>
      </c>
      <c r="BM124" s="169" t="s">
        <v>739</v>
      </c>
      <c r="BN124" s="297" t="s">
        <v>35</v>
      </c>
      <c r="BO124" s="297" t="s">
        <v>35</v>
      </c>
      <c r="BP124" s="297" t="s">
        <v>740</v>
      </c>
      <c r="BQ124" s="297" t="s">
        <v>710</v>
      </c>
      <c r="BR124" s="297" t="s">
        <v>711</v>
      </c>
      <c r="BS124" s="297"/>
      <c r="BT124" s="297" t="s">
        <v>712</v>
      </c>
      <c r="BU124" s="297" t="s">
        <v>713</v>
      </c>
      <c r="BV124" s="297" t="s">
        <v>1004</v>
      </c>
      <c r="BW124" s="298" t="s">
        <v>707</v>
      </c>
      <c r="BX124" s="441" t="s">
        <v>707</v>
      </c>
    </row>
    <row r="125" spans="1:76" ht="21" hidden="1" customHeight="1">
      <c r="AD125" s="267"/>
      <c r="AE125" s="101"/>
      <c r="AF125" s="101"/>
      <c r="AG125" s="104"/>
      <c r="AH125" s="299" t="s">
        <v>734</v>
      </c>
      <c r="AI125" s="300" t="s">
        <v>735</v>
      </c>
      <c r="AJ125" s="300" t="str">
        <v>IN SALARIES 2027</v>
      </c>
      <c r="AK125" s="299" t="s">
        <v>737</v>
      </c>
      <c r="AL125" s="299" t="s">
        <v>35</v>
      </c>
      <c r="AM125" s="299" t="s">
        <v>738</v>
      </c>
      <c r="AN125" s="299" t="str">
        <v>MHSI</v>
      </c>
      <c r="AO125" s="299" t="str">
        <v>INTAKE</v>
      </c>
      <c r="AP125" s="300" t="str">
        <v>OUTREACH</v>
      </c>
      <c r="AQ125" s="300" t="str">
        <v xml:space="preserve">EDUCATION INDIVIDUAL </v>
      </c>
      <c r="AR125" s="300" t="str">
        <v>EDUCATION GROUP</v>
      </c>
      <c r="AS125" s="300" t="str">
        <v xml:space="preserve">TELEPHONE REASSURANCE </v>
      </c>
      <c r="AT125" s="299" t="str">
        <v xml:space="preserve">CHORE </v>
      </c>
      <c r="AU125" s="300" t="str">
        <v xml:space="preserve">TECH SUPPORT </v>
      </c>
      <c r="AV125" s="300" t="s">
        <v>746</v>
      </c>
      <c r="AW125" s="300" t="str">
        <f>AW23</f>
        <v xml:space="preserve">DIABETES SELF MANAGEMENT </v>
      </c>
      <c r="AX125" s="172" t="s">
        <v>748</v>
      </c>
      <c r="AY125" s="172" t="s">
        <v>749</v>
      </c>
      <c r="AZ125" s="172" t="s">
        <v>750</v>
      </c>
      <c r="BA125" s="172" t="s">
        <v>751</v>
      </c>
      <c r="BB125" s="172" t="s">
        <v>752</v>
      </c>
      <c r="BC125" s="299"/>
      <c r="BD125" s="299"/>
      <c r="BE125" s="299"/>
      <c r="BF125" s="299"/>
      <c r="BG125" s="299"/>
      <c r="BH125" s="299"/>
      <c r="BI125" s="300"/>
      <c r="BJ125" s="300"/>
      <c r="BK125" s="300"/>
      <c r="BL125" s="299"/>
      <c r="BM125" s="299"/>
      <c r="BN125" s="300"/>
      <c r="BO125" s="300"/>
      <c r="BP125" s="638"/>
      <c r="BQ125" s="300" t="s">
        <v>754</v>
      </c>
      <c r="BR125" s="299"/>
      <c r="BS125" s="299"/>
      <c r="BT125" s="172" t="s">
        <v>755</v>
      </c>
      <c r="BU125" s="299" t="s">
        <v>756</v>
      </c>
      <c r="BV125" s="299" t="s">
        <v>620</v>
      </c>
      <c r="BW125" s="301" t="s">
        <v>758</v>
      </c>
      <c r="BX125" s="442" t="s">
        <v>758</v>
      </c>
    </row>
    <row r="126" spans="1:76" ht="33" hidden="1" customHeight="1">
      <c r="AD126" s="890" t="s">
        <v>1005</v>
      </c>
      <c r="AE126" s="891"/>
      <c r="AF126" s="891"/>
      <c r="AG126" s="892"/>
      <c r="AH126" s="640">
        <v>0</v>
      </c>
      <c r="AI126" s="640">
        <v>0</v>
      </c>
      <c r="AJ126" s="640">
        <v>0</v>
      </c>
      <c r="AK126" s="640">
        <v>0</v>
      </c>
      <c r="AL126" s="640">
        <v>0</v>
      </c>
      <c r="AM126" s="640">
        <v>0</v>
      </c>
      <c r="AN126" s="640">
        <v>0</v>
      </c>
      <c r="AO126" s="640">
        <v>0</v>
      </c>
      <c r="AP126" s="640">
        <v>0</v>
      </c>
      <c r="AQ126" s="640">
        <v>0</v>
      </c>
      <c r="AR126" s="640">
        <v>0</v>
      </c>
      <c r="AS126" s="640">
        <v>0</v>
      </c>
      <c r="AT126" s="640">
        <v>0</v>
      </c>
      <c r="AU126" s="640">
        <v>0</v>
      </c>
      <c r="AV126" s="640">
        <v>0</v>
      </c>
      <c r="AW126" s="640">
        <v>0</v>
      </c>
      <c r="AX126" s="640">
        <v>0</v>
      </c>
      <c r="AY126" s="640">
        <v>0</v>
      </c>
      <c r="AZ126" s="640">
        <v>0</v>
      </c>
      <c r="BA126" s="640">
        <v>0</v>
      </c>
      <c r="BB126" s="640">
        <v>0</v>
      </c>
      <c r="BC126" s="640">
        <v>0</v>
      </c>
      <c r="BD126" s="640">
        <v>0</v>
      </c>
      <c r="BE126" s="640">
        <v>0</v>
      </c>
      <c r="BF126" s="640">
        <v>0</v>
      </c>
      <c r="BG126" s="640">
        <v>0</v>
      </c>
      <c r="BH126" s="640">
        <v>0</v>
      </c>
      <c r="BI126" s="640">
        <v>0</v>
      </c>
      <c r="BJ126" s="640">
        <v>0</v>
      </c>
      <c r="BK126" s="640">
        <v>0</v>
      </c>
      <c r="BL126" s="640">
        <v>0</v>
      </c>
      <c r="BM126" s="640">
        <v>0</v>
      </c>
      <c r="BN126" s="640">
        <v>0</v>
      </c>
      <c r="BO126" s="640">
        <v>0</v>
      </c>
      <c r="BP126" s="640">
        <v>0</v>
      </c>
      <c r="BQ126" s="640">
        <v>0</v>
      </c>
      <c r="BR126" s="640">
        <v>0</v>
      </c>
      <c r="BS126" s="640">
        <v>0</v>
      </c>
      <c r="BT126" s="640">
        <v>0</v>
      </c>
      <c r="BU126" s="640">
        <v>0</v>
      </c>
      <c r="BV126" s="640">
        <f>SUM(AK126:BU126)</f>
        <v>0</v>
      </c>
      <c r="BW126" s="641">
        <f>SUM(AI126-AH126)</f>
        <v>0</v>
      </c>
      <c r="BX126" s="642">
        <v>0</v>
      </c>
    </row>
    <row r="127" spans="1:76" hidden="1">
      <c r="AD127" s="890" t="s">
        <v>1006</v>
      </c>
      <c r="AE127" s="891"/>
      <c r="AF127" s="891"/>
      <c r="AG127" s="892"/>
      <c r="AH127" s="581">
        <f>SUM(AH126:AH126)</f>
        <v>0</v>
      </c>
      <c r="AI127" s="581">
        <f t="shared" ref="AI127:BU127" si="189">SUM(AI126:AI126)</f>
        <v>0</v>
      </c>
      <c r="AJ127" s="581">
        <v>0</v>
      </c>
      <c r="AK127" s="581">
        <f>SUM(AK126:AK126)</f>
        <v>0</v>
      </c>
      <c r="AL127" s="581">
        <f t="shared" ref="AL127" si="190">SUM(AL126:AL126)</f>
        <v>0</v>
      </c>
      <c r="AM127" s="581">
        <f t="shared" si="189"/>
        <v>0</v>
      </c>
      <c r="AN127" s="581">
        <f t="shared" si="189"/>
        <v>0</v>
      </c>
      <c r="AO127" s="581">
        <f t="shared" si="189"/>
        <v>0</v>
      </c>
      <c r="AP127" s="581">
        <f t="shared" si="189"/>
        <v>0</v>
      </c>
      <c r="AQ127" s="581">
        <f t="shared" si="189"/>
        <v>0</v>
      </c>
      <c r="AR127" s="581">
        <f t="shared" si="189"/>
        <v>0</v>
      </c>
      <c r="AS127" s="581">
        <f t="shared" si="189"/>
        <v>0</v>
      </c>
      <c r="AT127" s="581">
        <f t="shared" si="189"/>
        <v>0</v>
      </c>
      <c r="AU127" s="581">
        <f t="shared" si="189"/>
        <v>0</v>
      </c>
      <c r="AV127" s="581">
        <f t="shared" si="189"/>
        <v>0</v>
      </c>
      <c r="AW127" s="581">
        <f t="shared" si="189"/>
        <v>0</v>
      </c>
      <c r="AX127" s="581">
        <f t="shared" si="189"/>
        <v>0</v>
      </c>
      <c r="AY127" s="581">
        <f t="shared" si="189"/>
        <v>0</v>
      </c>
      <c r="AZ127" s="581">
        <f t="shared" si="189"/>
        <v>0</v>
      </c>
      <c r="BA127" s="581">
        <f t="shared" si="189"/>
        <v>0</v>
      </c>
      <c r="BB127" s="581">
        <f t="shared" si="189"/>
        <v>0</v>
      </c>
      <c r="BC127" s="581">
        <f t="shared" si="189"/>
        <v>0</v>
      </c>
      <c r="BD127" s="581">
        <f t="shared" si="189"/>
        <v>0</v>
      </c>
      <c r="BE127" s="581">
        <f t="shared" si="189"/>
        <v>0</v>
      </c>
      <c r="BF127" s="581">
        <f t="shared" si="189"/>
        <v>0</v>
      </c>
      <c r="BG127" s="581">
        <f t="shared" si="189"/>
        <v>0</v>
      </c>
      <c r="BH127" s="581">
        <f t="shared" si="189"/>
        <v>0</v>
      </c>
      <c r="BI127" s="581">
        <f>SUM(BI126:BI126)</f>
        <v>0</v>
      </c>
      <c r="BJ127" s="581">
        <f>SUM(BJ126:BJ126)</f>
        <v>0</v>
      </c>
      <c r="BK127" s="581">
        <f>SUM(BK126:BK126)</f>
        <v>0</v>
      </c>
      <c r="BL127" s="581">
        <f t="shared" ref="BL127:BM127" si="191">SUM(BL126:BL126)</f>
        <v>0</v>
      </c>
      <c r="BM127" s="581">
        <f t="shared" si="191"/>
        <v>0</v>
      </c>
      <c r="BN127" s="581">
        <f t="shared" si="189"/>
        <v>0</v>
      </c>
      <c r="BO127" s="581">
        <f t="shared" si="189"/>
        <v>0</v>
      </c>
      <c r="BP127" s="581">
        <f t="shared" si="189"/>
        <v>0</v>
      </c>
      <c r="BQ127" s="581">
        <f t="shared" si="189"/>
        <v>0</v>
      </c>
      <c r="BR127" s="581">
        <f t="shared" si="189"/>
        <v>0</v>
      </c>
      <c r="BS127" s="581">
        <f t="shared" si="189"/>
        <v>0</v>
      </c>
      <c r="BT127" s="581">
        <f t="shared" si="189"/>
        <v>0</v>
      </c>
      <c r="BU127" s="581">
        <f t="shared" si="189"/>
        <v>0</v>
      </c>
      <c r="BV127" s="581">
        <f>SUM(AK127:BU127)</f>
        <v>0</v>
      </c>
      <c r="BW127" s="643">
        <f>SUM(AI127-AH127)</f>
        <v>0</v>
      </c>
      <c r="BX127" s="644">
        <v>0</v>
      </c>
    </row>
    <row r="128" spans="1:76" ht="13.5" hidden="1" thickBot="1">
      <c r="AD128" s="893" t="s">
        <v>1007</v>
      </c>
      <c r="AE128" s="894"/>
      <c r="AF128" s="894"/>
      <c r="AG128" s="895"/>
      <c r="AH128" s="645">
        <f>SUM(AH116,AH127)</f>
        <v>4049905</v>
      </c>
      <c r="AI128" s="645">
        <f>SUM(AI116,AI127)</f>
        <v>4409133.9799999995</v>
      </c>
      <c r="AJ128" s="645">
        <f t="shared" ref="AJ128:BW128" si="192">SUM(AJ116,AJ127)</f>
        <v>515624.06450395164</v>
      </c>
      <c r="AK128" s="645">
        <f t="shared" si="192"/>
        <v>106865.04999999999</v>
      </c>
      <c r="AL128" s="645">
        <f t="shared" si="192"/>
        <v>503760.98999999993</v>
      </c>
      <c r="AM128" s="645">
        <f t="shared" si="192"/>
        <v>338330.47</v>
      </c>
      <c r="AN128" s="645">
        <f t="shared" si="192"/>
        <v>118846.33</v>
      </c>
      <c r="AO128" s="645">
        <f t="shared" si="192"/>
        <v>93476.97</v>
      </c>
      <c r="AP128" s="645">
        <f t="shared" si="192"/>
        <v>34150.699999999997</v>
      </c>
      <c r="AQ128" s="645">
        <f t="shared" si="192"/>
        <v>2476.5100000000002</v>
      </c>
      <c r="AR128" s="645">
        <f t="shared" si="192"/>
        <v>8978.5499999999993</v>
      </c>
      <c r="AS128" s="645">
        <f t="shared" si="192"/>
        <v>6389.81</v>
      </c>
      <c r="AT128" s="645">
        <f t="shared" si="192"/>
        <v>94440.709999999992</v>
      </c>
      <c r="AU128" s="645">
        <f t="shared" si="192"/>
        <v>0</v>
      </c>
      <c r="AV128" s="645">
        <f t="shared" si="192"/>
        <v>0</v>
      </c>
      <c r="AW128" s="645">
        <f t="shared" si="192"/>
        <v>5912.85</v>
      </c>
      <c r="AX128" s="645">
        <f t="shared" si="192"/>
        <v>5089.87</v>
      </c>
      <c r="AY128" s="645">
        <f t="shared" si="192"/>
        <v>6712.36</v>
      </c>
      <c r="AZ128" s="645">
        <f t="shared" si="192"/>
        <v>8464.9699999999993</v>
      </c>
      <c r="BA128" s="645">
        <f t="shared" si="192"/>
        <v>6404.17</v>
      </c>
      <c r="BB128" s="645">
        <f t="shared" si="192"/>
        <v>44001.18</v>
      </c>
      <c r="BC128" s="645">
        <f t="shared" si="192"/>
        <v>13767.11</v>
      </c>
      <c r="BD128" s="645">
        <f t="shared" si="192"/>
        <v>179976.92</v>
      </c>
      <c r="BE128" s="645">
        <f t="shared" si="192"/>
        <v>22302.100000000002</v>
      </c>
      <c r="BF128" s="645">
        <f t="shared" si="192"/>
        <v>18433.86</v>
      </c>
      <c r="BG128" s="645">
        <f t="shared" si="192"/>
        <v>23401.17</v>
      </c>
      <c r="BH128" s="645">
        <f t="shared" si="192"/>
        <v>43409.37</v>
      </c>
      <c r="BI128" s="645">
        <f t="shared" si="192"/>
        <v>44704.95</v>
      </c>
      <c r="BJ128" s="645">
        <f t="shared" si="192"/>
        <v>179883.00999999998</v>
      </c>
      <c r="BK128" s="645">
        <f t="shared" si="192"/>
        <v>683791.7300000001</v>
      </c>
      <c r="BL128" s="645">
        <f t="shared" si="192"/>
        <v>58929.010000000009</v>
      </c>
      <c r="BM128" s="645">
        <f t="shared" si="192"/>
        <v>187220.00000000003</v>
      </c>
      <c r="BN128" s="645">
        <f t="shared" si="192"/>
        <v>51431.72</v>
      </c>
      <c r="BO128" s="645">
        <f t="shared" si="192"/>
        <v>75067.62</v>
      </c>
      <c r="BP128" s="645">
        <f t="shared" si="192"/>
        <v>0</v>
      </c>
      <c r="BQ128" s="645">
        <f t="shared" si="192"/>
        <v>130008.43</v>
      </c>
      <c r="BR128" s="645">
        <f t="shared" si="192"/>
        <v>283948.20999999996</v>
      </c>
      <c r="BS128" s="645">
        <f t="shared" si="192"/>
        <v>217265.49</v>
      </c>
      <c r="BT128" s="645">
        <f t="shared" si="192"/>
        <v>209320.83000000002</v>
      </c>
      <c r="BU128" s="645">
        <f t="shared" si="192"/>
        <v>601970.96</v>
      </c>
      <c r="BV128" s="645">
        <f t="shared" si="192"/>
        <v>3807163.0200000014</v>
      </c>
      <c r="BW128" s="646">
        <f t="shared" si="192"/>
        <v>359229.98000000021</v>
      </c>
      <c r="BX128" s="647">
        <f>BW128/AH128</f>
        <v>8.8700841130841396E-2</v>
      </c>
    </row>
    <row r="129" spans="29:76" hidden="1">
      <c r="AD129" s="9"/>
      <c r="AE129" s="9"/>
      <c r="AF129" s="9"/>
      <c r="AG129" s="9"/>
    </row>
    <row r="130" spans="29:76" ht="12.75" hidden="1" customHeight="1">
      <c r="AD130" s="9"/>
      <c r="AE130" s="9"/>
      <c r="AF130" s="9"/>
      <c r="AG130" s="9"/>
    </row>
    <row r="131" spans="29:76" ht="16.5" hidden="1" thickBot="1">
      <c r="AD131" s="896" t="s">
        <v>1008</v>
      </c>
      <c r="AE131" s="896"/>
      <c r="AF131" s="896"/>
      <c r="AG131" s="896"/>
      <c r="AS131" s="369"/>
      <c r="BT131" s="369"/>
    </row>
    <row r="132" spans="29:76" ht="25.5" hidden="1">
      <c r="AD132" s="648"/>
      <c r="AE132" s="649"/>
      <c r="AF132" s="649"/>
      <c r="AG132" s="649"/>
      <c r="AH132" s="650" t="s">
        <v>616</v>
      </c>
      <c r="AI132" s="650" t="s">
        <v>616</v>
      </c>
      <c r="AJ132" s="651" t="s">
        <v>692</v>
      </c>
      <c r="AK132" s="650" t="s">
        <v>31</v>
      </c>
      <c r="AL132" s="650" t="s">
        <v>693</v>
      </c>
      <c r="AM132" s="650" t="s">
        <v>31</v>
      </c>
      <c r="AN132" s="651" t="s">
        <v>690</v>
      </c>
      <c r="AO132" s="651" t="s">
        <v>690</v>
      </c>
      <c r="AP132" s="651" t="s">
        <v>690</v>
      </c>
      <c r="AQ132" s="651" t="s">
        <v>690</v>
      </c>
      <c r="AR132" s="651" t="s">
        <v>690</v>
      </c>
      <c r="AS132" s="651" t="s">
        <v>690</v>
      </c>
      <c r="AT132" s="651" t="s">
        <v>690</v>
      </c>
      <c r="AU132" s="651" t="str">
        <f>AU123</f>
        <v>TITLE</v>
      </c>
      <c r="AV132" s="650" t="s">
        <v>31</v>
      </c>
      <c r="AW132" s="650" t="s">
        <v>31</v>
      </c>
      <c r="AX132" s="651" t="s">
        <v>690</v>
      </c>
      <c r="AY132" s="651" t="s">
        <v>690</v>
      </c>
      <c r="AZ132" s="651" t="s">
        <v>690</v>
      </c>
      <c r="BA132" s="651" t="s">
        <v>690</v>
      </c>
      <c r="BB132" s="651" t="s">
        <v>690</v>
      </c>
      <c r="BC132" s="650" t="s">
        <v>31</v>
      </c>
      <c r="BD132" s="650" t="s">
        <v>31</v>
      </c>
      <c r="BE132" s="650" t="s">
        <v>379</v>
      </c>
      <c r="BF132" s="651" t="s">
        <v>379</v>
      </c>
      <c r="BG132" s="651" t="s">
        <v>379</v>
      </c>
      <c r="BH132" s="651" t="s">
        <v>694</v>
      </c>
      <c r="BI132" s="652" t="s">
        <v>302</v>
      </c>
      <c r="BJ132" s="653" t="s">
        <v>302</v>
      </c>
      <c r="BK132" s="652" t="s">
        <v>302</v>
      </c>
      <c r="BL132" s="650" t="s">
        <v>126</v>
      </c>
      <c r="BM132" s="651" t="s">
        <v>126</v>
      </c>
      <c r="BN132" s="652" t="s">
        <v>350</v>
      </c>
      <c r="BO132" s="650" t="s">
        <v>78</v>
      </c>
      <c r="BP132" s="652" t="s">
        <v>78</v>
      </c>
      <c r="BQ132" s="654" t="s">
        <v>695</v>
      </c>
      <c r="BR132" s="650" t="s">
        <v>696</v>
      </c>
      <c r="BS132" s="650" t="s">
        <v>71</v>
      </c>
      <c r="BT132" s="652" t="s">
        <v>697</v>
      </c>
      <c r="BU132" s="650" t="s">
        <v>674</v>
      </c>
      <c r="BV132" s="650" t="s">
        <v>1003</v>
      </c>
      <c r="BW132" s="655" t="s">
        <v>616</v>
      </c>
      <c r="BX132" s="656" t="s">
        <v>698</v>
      </c>
    </row>
    <row r="133" spans="29:76" ht="25.5" hidden="1" customHeight="1">
      <c r="AD133" s="657"/>
      <c r="AE133" s="9"/>
      <c r="AF133" s="9"/>
      <c r="AG133" s="9"/>
      <c r="AH133" s="96" t="s">
        <v>707</v>
      </c>
      <c r="AI133" s="96" t="s">
        <v>707</v>
      </c>
      <c r="AJ133" s="169" t="s">
        <v>708</v>
      </c>
      <c r="AK133" s="96" t="s">
        <v>36</v>
      </c>
      <c r="AL133" s="96" t="s">
        <v>30</v>
      </c>
      <c r="AM133" s="96" t="s">
        <v>36</v>
      </c>
      <c r="AN133" s="169" t="s">
        <v>36</v>
      </c>
      <c r="AO133" s="169" t="s">
        <v>36</v>
      </c>
      <c r="AP133" s="169" t="s">
        <v>709</v>
      </c>
      <c r="AQ133" s="169" t="s">
        <v>36</v>
      </c>
      <c r="AR133" s="169" t="s">
        <v>36</v>
      </c>
      <c r="AS133" s="169" t="s">
        <v>709</v>
      </c>
      <c r="AT133" s="169" t="s">
        <v>36</v>
      </c>
      <c r="AU133" s="169" t="str">
        <f>AU124</f>
        <v>IIIB</v>
      </c>
      <c r="AV133" s="96" t="s">
        <v>36</v>
      </c>
      <c r="AW133" s="96" t="s">
        <v>40</v>
      </c>
      <c r="AX133" s="169" t="s">
        <v>40</v>
      </c>
      <c r="AY133" s="169" t="s">
        <v>40</v>
      </c>
      <c r="AZ133" s="169" t="s">
        <v>40</v>
      </c>
      <c r="BA133" s="169" t="s">
        <v>40</v>
      </c>
      <c r="BB133" s="169" t="s">
        <v>40</v>
      </c>
      <c r="BC133" s="96" t="s">
        <v>43</v>
      </c>
      <c r="BD133" s="96" t="s">
        <v>41</v>
      </c>
      <c r="BE133" s="96" t="s">
        <v>35</v>
      </c>
      <c r="BF133" s="169" t="s">
        <v>158</v>
      </c>
      <c r="BG133" s="169" t="s">
        <v>753</v>
      </c>
      <c r="BH133" s="169" t="s">
        <v>738</v>
      </c>
      <c r="BI133" s="96" t="s">
        <v>35</v>
      </c>
      <c r="BJ133" s="169" t="s">
        <v>738</v>
      </c>
      <c r="BK133" s="96" t="s">
        <v>739</v>
      </c>
      <c r="BL133" s="96" t="s">
        <v>35</v>
      </c>
      <c r="BM133" s="169" t="s">
        <v>739</v>
      </c>
      <c r="BN133" s="96" t="s">
        <v>35</v>
      </c>
      <c r="BO133" s="96" t="s">
        <v>35</v>
      </c>
      <c r="BP133" s="96" t="s">
        <v>740</v>
      </c>
      <c r="BQ133" s="97" t="s">
        <v>710</v>
      </c>
      <c r="BR133" s="96" t="s">
        <v>711</v>
      </c>
      <c r="BS133" s="96"/>
      <c r="BT133" s="96" t="s">
        <v>712</v>
      </c>
      <c r="BU133" s="96" t="s">
        <v>713</v>
      </c>
      <c r="BV133" s="96" t="s">
        <v>1004</v>
      </c>
      <c r="BW133" s="266" t="s">
        <v>707</v>
      </c>
      <c r="BX133" s="443" t="s">
        <v>707</v>
      </c>
    </row>
    <row r="134" spans="29:76" ht="30.75" hidden="1" customHeight="1">
      <c r="AD134" s="658"/>
      <c r="AE134" s="101"/>
      <c r="AF134" s="101"/>
      <c r="AG134" s="104"/>
      <c r="AH134" s="98" t="s">
        <v>734</v>
      </c>
      <c r="AI134" s="99" t="s">
        <v>735</v>
      </c>
      <c r="AJ134" s="172" t="s">
        <v>736</v>
      </c>
      <c r="AK134" s="98" t="s">
        <v>737</v>
      </c>
      <c r="AL134" s="98" t="s">
        <v>35</v>
      </c>
      <c r="AM134" s="98" t="s">
        <v>738</v>
      </c>
      <c r="AN134" s="171" t="s">
        <v>158</v>
      </c>
      <c r="AO134" s="171" t="s">
        <v>739</v>
      </c>
      <c r="AP134" s="172" t="s">
        <v>740</v>
      </c>
      <c r="AQ134" s="172" t="s">
        <v>741</v>
      </c>
      <c r="AR134" s="172" t="s">
        <v>742</v>
      </c>
      <c r="AS134" s="172" t="s">
        <v>743</v>
      </c>
      <c r="AT134" s="171" t="s">
        <v>744</v>
      </c>
      <c r="AU134" s="172" t="str">
        <f>AU125</f>
        <v xml:space="preserve">TECH SUPPORT </v>
      </c>
      <c r="AV134" s="99" t="s">
        <v>746</v>
      </c>
      <c r="AW134" s="99" t="str">
        <f>AW125</f>
        <v xml:space="preserve">DIABETES SELF MANAGEMENT </v>
      </c>
      <c r="AX134" s="172" t="s">
        <v>748</v>
      </c>
      <c r="AY134" s="172" t="s">
        <v>749</v>
      </c>
      <c r="AZ134" s="172" t="s">
        <v>750</v>
      </c>
      <c r="BA134" s="172" t="s">
        <v>751</v>
      </c>
      <c r="BB134" s="172" t="s">
        <v>752</v>
      </c>
      <c r="BC134" s="98"/>
      <c r="BD134" s="98"/>
      <c r="BE134" s="98"/>
      <c r="BF134" s="98"/>
      <c r="BG134" s="98"/>
      <c r="BH134" s="98"/>
      <c r="BI134" s="99"/>
      <c r="BJ134" s="99"/>
      <c r="BK134" s="99"/>
      <c r="BL134" s="98"/>
      <c r="BM134" s="98"/>
      <c r="BN134" s="99"/>
      <c r="BO134" s="99"/>
      <c r="BP134" s="99"/>
      <c r="BQ134" s="100" t="s">
        <v>754</v>
      </c>
      <c r="BR134" s="98"/>
      <c r="BS134" s="98"/>
      <c r="BT134" s="172" t="s">
        <v>755</v>
      </c>
      <c r="BU134" s="98" t="s">
        <v>756</v>
      </c>
      <c r="BV134" s="98" t="s">
        <v>620</v>
      </c>
      <c r="BW134" s="268" t="s">
        <v>758</v>
      </c>
      <c r="BX134" s="444" t="s">
        <v>758</v>
      </c>
    </row>
    <row r="135" spans="29:76" ht="28.5" hidden="1" customHeight="1">
      <c r="AC135" s="5">
        <v>50350</v>
      </c>
      <c r="AD135" s="659" t="s">
        <v>1009</v>
      </c>
      <c r="AE135" s="102"/>
      <c r="AF135" s="102"/>
      <c r="AG135" s="102"/>
      <c r="AH135" s="580">
        <v>300507</v>
      </c>
      <c r="AI135" s="580">
        <f>SUM(AK135:BU135)</f>
        <v>357546.45999999996</v>
      </c>
      <c r="AJ135" s="580">
        <v>0</v>
      </c>
      <c r="AK135" s="580">
        <v>8719.42</v>
      </c>
      <c r="AL135" s="580">
        <v>41497.42</v>
      </c>
      <c r="AM135" s="580">
        <v>27213.96</v>
      </c>
      <c r="AN135" s="580">
        <v>9697</v>
      </c>
      <c r="AO135" s="580">
        <v>7515.87</v>
      </c>
      <c r="AP135" s="580">
        <v>2786.45</v>
      </c>
      <c r="AQ135" s="580">
        <v>202.07</v>
      </c>
      <c r="AR135" s="580">
        <v>732.59</v>
      </c>
      <c r="AS135" s="640">
        <v>521.36</v>
      </c>
      <c r="AT135" s="580">
        <v>7705.68</v>
      </c>
      <c r="AU135" s="580">
        <v>0</v>
      </c>
      <c r="AV135" s="580">
        <v>0</v>
      </c>
      <c r="AW135" s="580">
        <v>482.45</v>
      </c>
      <c r="AX135" s="580">
        <v>415.3</v>
      </c>
      <c r="AY135" s="580">
        <v>547.67999999999995</v>
      </c>
      <c r="AZ135" s="580">
        <v>690.68</v>
      </c>
      <c r="BA135" s="580">
        <v>522.53</v>
      </c>
      <c r="BB135" s="580">
        <v>3590.18</v>
      </c>
      <c r="BC135" s="580">
        <v>1123.3</v>
      </c>
      <c r="BD135" s="580">
        <v>14676</v>
      </c>
      <c r="BE135" s="580">
        <v>1808.36</v>
      </c>
      <c r="BF135" s="580">
        <v>1504.07</v>
      </c>
      <c r="BG135" s="580">
        <v>1710.28</v>
      </c>
      <c r="BH135" s="580">
        <v>3476.42</v>
      </c>
      <c r="BI135" s="580">
        <v>3624.89</v>
      </c>
      <c r="BJ135" s="580">
        <v>14385.56</v>
      </c>
      <c r="BK135" s="580">
        <v>54880.72</v>
      </c>
      <c r="BL135" s="580">
        <v>4808.18</v>
      </c>
      <c r="BM135" s="580">
        <v>14888.15</v>
      </c>
      <c r="BN135" s="580">
        <v>4192.41</v>
      </c>
      <c r="BO135" s="580">
        <v>6124.98</v>
      </c>
      <c r="BP135" s="580"/>
      <c r="BQ135" s="580">
        <v>9629</v>
      </c>
      <c r="BR135" s="580">
        <v>24073</v>
      </c>
      <c r="BS135" s="580">
        <v>17727.3</v>
      </c>
      <c r="BT135" s="580">
        <f>10551.98+6527.09</f>
        <v>17079.07</v>
      </c>
      <c r="BU135" s="580">
        <f>9040.59+4377.68+17747.47+9861.62+7966.77</f>
        <v>48994.130000000005</v>
      </c>
      <c r="BV135" s="581">
        <f t="shared" ref="BV135:BV140" si="193">SUM(AK135:BU135)-BU135</f>
        <v>308552.32999999996</v>
      </c>
      <c r="BW135" s="643">
        <f t="shared" ref="BW135:BW140" si="194">SUM(AI135-AH135)</f>
        <v>57039.459999999963</v>
      </c>
      <c r="BX135" s="634">
        <f>100%-(AH135/AI135)</f>
        <v>0.15953020482988411</v>
      </c>
    </row>
    <row r="136" spans="29:76" ht="24" hidden="1" customHeight="1">
      <c r="AC136" s="5">
        <v>50210</v>
      </c>
      <c r="AD136" s="659" t="s">
        <v>1010</v>
      </c>
      <c r="AE136" s="102"/>
      <c r="AF136" s="102"/>
      <c r="AG136" s="102"/>
      <c r="AH136" s="580">
        <v>309794</v>
      </c>
      <c r="AI136" s="580">
        <f t="shared" ref="AI136:AI140" si="195">SUM(AK136:BU136)</f>
        <v>334652.5</v>
      </c>
      <c r="AJ136" s="580">
        <v>0</v>
      </c>
      <c r="AK136" s="580">
        <v>8175.18</v>
      </c>
      <c r="AL136" s="580">
        <v>38394.870000000003</v>
      </c>
      <c r="AM136" s="580">
        <v>25515.33</v>
      </c>
      <c r="AN136" s="580">
        <v>9091.74</v>
      </c>
      <c r="AO136" s="580">
        <v>7046.75</v>
      </c>
      <c r="AP136" s="580">
        <v>2612.5300000000002</v>
      </c>
      <c r="AQ136" s="580">
        <v>189.45</v>
      </c>
      <c r="AR136" s="580">
        <v>686.86</v>
      </c>
      <c r="AS136" s="640">
        <v>425.7</v>
      </c>
      <c r="AT136" s="580">
        <v>7224.74</v>
      </c>
      <c r="AU136" s="580">
        <v>0</v>
      </c>
      <c r="AV136" s="580">
        <v>0</v>
      </c>
      <c r="AW136" s="580">
        <v>452.33</v>
      </c>
      <c r="AX136" s="580">
        <v>389.38</v>
      </c>
      <c r="AY136" s="580">
        <v>513.5</v>
      </c>
      <c r="AZ136" s="580">
        <v>647.57000000000005</v>
      </c>
      <c r="BA136" s="580">
        <v>489.92</v>
      </c>
      <c r="BB136" s="580">
        <v>3366.09</v>
      </c>
      <c r="BC136" s="580">
        <v>1053.18</v>
      </c>
      <c r="BD136" s="580">
        <v>13759.97</v>
      </c>
      <c r="BE136" s="580">
        <v>1695.48</v>
      </c>
      <c r="BF136" s="580">
        <v>1408.8</v>
      </c>
      <c r="BG136" s="580">
        <v>1603.53</v>
      </c>
      <c r="BH136" s="580">
        <v>3259.43</v>
      </c>
      <c r="BI136" s="580">
        <v>3398.64</v>
      </c>
      <c r="BJ136" s="580">
        <v>13487.65</v>
      </c>
      <c r="BK136" s="580">
        <v>51455.21</v>
      </c>
      <c r="BL136" s="580">
        <v>4508.07</v>
      </c>
      <c r="BM136" s="580">
        <v>13958.87</v>
      </c>
      <c r="BN136" s="580">
        <v>3930.73</v>
      </c>
      <c r="BO136" s="580">
        <v>5742.67</v>
      </c>
      <c r="BP136" s="580"/>
      <c r="BQ136" s="580">
        <v>9876.4</v>
      </c>
      <c r="BR136" s="580">
        <v>21722.04</v>
      </c>
      <c r="BS136" s="580">
        <v>16620.810000000001</v>
      </c>
      <c r="BT136" s="580">
        <f>9893.36+6119.69</f>
        <v>16013.05</v>
      </c>
      <c r="BU136" s="580">
        <f>8476.3+4104.43+16639.72+9246.08+7469.5</f>
        <v>45936.03</v>
      </c>
      <c r="BV136" s="581">
        <f t="shared" si="193"/>
        <v>288716.46999999997</v>
      </c>
      <c r="BW136" s="643">
        <f t="shared" si="194"/>
        <v>24858.5</v>
      </c>
      <c r="BX136" s="634">
        <f>100%-(AH136/AI136)</f>
        <v>7.4281530841693977E-2</v>
      </c>
    </row>
    <row r="137" spans="29:76" ht="34.5" hidden="1" customHeight="1">
      <c r="AC137" s="5">
        <v>50220</v>
      </c>
      <c r="AD137" s="659" t="s">
        <v>1011</v>
      </c>
      <c r="AE137" s="102"/>
      <c r="AF137" s="102"/>
      <c r="AG137" s="102"/>
      <c r="AH137" s="580">
        <v>3190</v>
      </c>
      <c r="AI137" s="580">
        <f t="shared" si="195"/>
        <v>3073.78</v>
      </c>
      <c r="AJ137" s="580">
        <v>0</v>
      </c>
      <c r="AK137" s="580">
        <v>77.64</v>
      </c>
      <c r="AL137" s="580">
        <v>378.12</v>
      </c>
      <c r="AM137" s="580">
        <v>281.42</v>
      </c>
      <c r="AN137" s="580">
        <v>54.23</v>
      </c>
      <c r="AO137" s="580">
        <v>54.56</v>
      </c>
      <c r="AP137" s="580">
        <v>30.2</v>
      </c>
      <c r="AQ137" s="580">
        <v>5.95</v>
      </c>
      <c r="AR137" s="580">
        <v>2.1800000000000002</v>
      </c>
      <c r="AS137" s="640">
        <v>0</v>
      </c>
      <c r="AT137" s="580">
        <v>114.35</v>
      </c>
      <c r="AU137" s="580">
        <v>0</v>
      </c>
      <c r="AV137" s="580">
        <v>0</v>
      </c>
      <c r="AW137" s="580">
        <v>4.93</v>
      </c>
      <c r="AX137" s="580">
        <v>5.16</v>
      </c>
      <c r="AY137" s="580">
        <v>5.5</v>
      </c>
      <c r="AZ137" s="580">
        <v>28.44</v>
      </c>
      <c r="BA137" s="580">
        <v>7.42</v>
      </c>
      <c r="BB137" s="580">
        <v>20.27</v>
      </c>
      <c r="BC137" s="580">
        <v>10.99</v>
      </c>
      <c r="BD137" s="580">
        <v>139.46</v>
      </c>
      <c r="BE137" s="580">
        <v>17.84</v>
      </c>
      <c r="BF137" s="580">
        <v>14.74</v>
      </c>
      <c r="BG137" s="580">
        <v>31.52</v>
      </c>
      <c r="BH137" s="580">
        <v>34.06</v>
      </c>
      <c r="BI137" s="580">
        <v>35.82</v>
      </c>
      <c r="BJ137" s="580">
        <v>141.76</v>
      </c>
      <c r="BK137" s="580">
        <v>268.22000000000003</v>
      </c>
      <c r="BL137" s="580">
        <v>45.51</v>
      </c>
      <c r="BM137" s="580">
        <v>126.89</v>
      </c>
      <c r="BN137" s="580">
        <v>41.69</v>
      </c>
      <c r="BO137" s="580">
        <v>23.47</v>
      </c>
      <c r="BP137" s="580"/>
      <c r="BQ137" s="580">
        <v>97.99</v>
      </c>
      <c r="BR137" s="580">
        <v>198.01</v>
      </c>
      <c r="BS137" s="580">
        <v>170.15</v>
      </c>
      <c r="BT137" s="580">
        <f>94.26+42.11</f>
        <v>136.37</v>
      </c>
      <c r="BU137" s="580">
        <f>257.11+90.81+46+75</f>
        <v>468.92</v>
      </c>
      <c r="BV137" s="581">
        <f t="shared" si="193"/>
        <v>2604.86</v>
      </c>
      <c r="BW137" s="643">
        <f>SUM(AI137-AH137)</f>
        <v>-116.2199999999998</v>
      </c>
      <c r="BX137" s="634">
        <f>100%-(AH137/AI137)</f>
        <v>-3.7810123040685983E-2</v>
      </c>
    </row>
    <row r="138" spans="29:76" ht="24" hidden="1" customHeight="1">
      <c r="AC138" s="5" t="s">
        <v>1012</v>
      </c>
      <c r="AD138" s="659" t="s">
        <v>1013</v>
      </c>
      <c r="AE138" s="102"/>
      <c r="AF138" s="102"/>
      <c r="AG138" s="102"/>
      <c r="AH138" s="580">
        <v>730383</v>
      </c>
      <c r="AI138" s="580">
        <f t="shared" si="195"/>
        <v>711757.62</v>
      </c>
      <c r="AJ138" s="580">
        <v>0</v>
      </c>
      <c r="AK138" s="580">
        <v>17365.2</v>
      </c>
      <c r="AL138" s="580">
        <v>82622.47</v>
      </c>
      <c r="AM138" s="580">
        <v>54730.54</v>
      </c>
      <c r="AN138" s="580">
        <v>19312.12</v>
      </c>
      <c r="AO138" s="580">
        <f>14821.22+147.05</f>
        <v>14968.269999999999</v>
      </c>
      <c r="AP138" s="580">
        <f>5494.85+54.52</f>
        <v>5549.3700000000008</v>
      </c>
      <c r="AQ138" s="580">
        <f>398.47+3.95</f>
        <v>402.42</v>
      </c>
      <c r="AR138" s="580">
        <f>1444.65+14.33</f>
        <v>1458.98</v>
      </c>
      <c r="AS138" s="640">
        <v>212</v>
      </c>
      <c r="AT138" s="580">
        <f>15195.52+150.77</f>
        <v>15346.29</v>
      </c>
      <c r="AU138" s="580">
        <v>0</v>
      </c>
      <c r="AV138" s="580">
        <v>0</v>
      </c>
      <c r="AW138" s="580">
        <f>951.38+9.44</f>
        <v>960.82</v>
      </c>
      <c r="AX138" s="580">
        <f>818.96+8.13</f>
        <v>827.09</v>
      </c>
      <c r="AY138" s="580">
        <f>1080.02+10.72</f>
        <v>1090.74</v>
      </c>
      <c r="AZ138" s="580">
        <f>1362.01+13.51</f>
        <v>1375.52</v>
      </c>
      <c r="BA138" s="580">
        <f>1030.43+10.22</f>
        <v>1040.6500000000001</v>
      </c>
      <c r="BB138" s="580">
        <f>7079.8+70.24</f>
        <v>7150.04</v>
      </c>
      <c r="BC138" s="580">
        <f>2215.13+21.98</f>
        <v>2237.11</v>
      </c>
      <c r="BD138" s="580">
        <f>28940.92+287.15</f>
        <v>29228.07</v>
      </c>
      <c r="BE138" s="580">
        <f>3566.06+35.38</f>
        <v>3601.44</v>
      </c>
      <c r="BF138" s="580">
        <f>2966.01+29.43</f>
        <v>2995.44</v>
      </c>
      <c r="BG138" s="580">
        <f>3372.66+33.46</f>
        <v>3406.12</v>
      </c>
      <c r="BH138" s="580">
        <f>6855.46+68.02</f>
        <v>6923.4800000000005</v>
      </c>
      <c r="BI138" s="580">
        <f>7148.25+70.92</f>
        <v>7219.17</v>
      </c>
      <c r="BJ138" s="580">
        <f>28368.16+281.47</f>
        <v>28649.63</v>
      </c>
      <c r="BK138" s="580">
        <f>108224.17+1073.79</f>
        <v>109297.95999999999</v>
      </c>
      <c r="BL138" s="580">
        <f>9481.68+94.08</f>
        <v>9575.76</v>
      </c>
      <c r="BM138" s="580">
        <f>29359.27+291.3</f>
        <v>29650.57</v>
      </c>
      <c r="BN138" s="580">
        <f>8267.39+82.03</f>
        <v>8349.42</v>
      </c>
      <c r="BO138" s="580">
        <f>12078.39+119.84</f>
        <v>12198.23</v>
      </c>
      <c r="BP138" s="580"/>
      <c r="BQ138" s="580">
        <f>20772.73+206.1</f>
        <v>20978.829999999998</v>
      </c>
      <c r="BR138" s="580">
        <f>45687.3+453.3</f>
        <v>46140.600000000006</v>
      </c>
      <c r="BS138" s="580">
        <f>34958.04+346.85</f>
        <v>35304.89</v>
      </c>
      <c r="BT138" s="580">
        <f>20808.39+206.46+12871.35+127.71</f>
        <v>34013.909999999996</v>
      </c>
      <c r="BU138" s="580">
        <f>17827.94+176.89+8632.73+85.65+34997.81+347.24+19447+192.95+15710.38+155.88</f>
        <v>97574.47</v>
      </c>
      <c r="BV138" s="581">
        <f t="shared" si="193"/>
        <v>614183.15</v>
      </c>
      <c r="BW138" s="643">
        <f t="shared" si="194"/>
        <v>-18625.380000000005</v>
      </c>
      <c r="BX138" s="634">
        <f t="shared" ref="BX138:BX141" si="196">100%-(AH138/AI138)</f>
        <v>-2.6168149769861371E-2</v>
      </c>
    </row>
    <row r="139" spans="29:76" ht="24" hidden="1" customHeight="1">
      <c r="AC139" s="5">
        <v>50340</v>
      </c>
      <c r="AD139" s="659" t="s">
        <v>1014</v>
      </c>
      <c r="AE139" s="102"/>
      <c r="AF139" s="102"/>
      <c r="AG139" s="102"/>
      <c r="AH139" s="580">
        <v>9353</v>
      </c>
      <c r="AI139" s="580">
        <f t="shared" si="195"/>
        <v>8482.7099999999991</v>
      </c>
      <c r="AJ139" s="580">
        <v>0</v>
      </c>
      <c r="AK139" s="580">
        <v>206.87</v>
      </c>
      <c r="AL139" s="580">
        <v>984.29</v>
      </c>
      <c r="AM139" s="580">
        <v>645.66</v>
      </c>
      <c r="AN139" s="580">
        <v>230.07</v>
      </c>
      <c r="AO139" s="580">
        <v>178.32</v>
      </c>
      <c r="AP139" s="580">
        <v>66.11</v>
      </c>
      <c r="AQ139" s="580">
        <v>4.79</v>
      </c>
      <c r="AR139" s="580">
        <v>17.38</v>
      </c>
      <c r="AS139" s="640">
        <v>12.37</v>
      </c>
      <c r="AT139" s="580">
        <v>182.82</v>
      </c>
      <c r="AU139" s="580">
        <v>0</v>
      </c>
      <c r="AV139" s="580">
        <v>0</v>
      </c>
      <c r="AW139" s="580">
        <v>11.45</v>
      </c>
      <c r="AX139" s="580">
        <v>9.85</v>
      </c>
      <c r="AY139" s="580">
        <v>12.99</v>
      </c>
      <c r="AZ139" s="580">
        <v>16.39</v>
      </c>
      <c r="BA139" s="580">
        <v>12.4</v>
      </c>
      <c r="BB139" s="580">
        <v>85.18</v>
      </c>
      <c r="BC139" s="580">
        <v>26.65</v>
      </c>
      <c r="BD139" s="580">
        <v>348.2</v>
      </c>
      <c r="BE139" s="580">
        <v>42.9</v>
      </c>
      <c r="BF139" s="580">
        <v>35.68</v>
      </c>
      <c r="BG139" s="580">
        <v>40.58</v>
      </c>
      <c r="BH139" s="580">
        <v>82.48</v>
      </c>
      <c r="BI139" s="580">
        <v>86</v>
      </c>
      <c r="BJ139" s="580">
        <v>341.3</v>
      </c>
      <c r="BK139" s="580">
        <v>1302.07</v>
      </c>
      <c r="BL139" s="580">
        <v>114.08</v>
      </c>
      <c r="BM139" s="580">
        <v>353.23</v>
      </c>
      <c r="BN139" s="580">
        <v>99.47</v>
      </c>
      <c r="BO139" s="580">
        <v>145.32</v>
      </c>
      <c r="BP139" s="580"/>
      <c r="BQ139" s="580">
        <v>249.92</v>
      </c>
      <c r="BR139" s="580">
        <v>549.67999999999995</v>
      </c>
      <c r="BS139" s="580">
        <v>420.59</v>
      </c>
      <c r="BT139" s="580">
        <f>250.35+154.86</f>
        <v>405.21000000000004</v>
      </c>
      <c r="BU139" s="580">
        <f>421.07+233.97+214.49+103.86+189.02</f>
        <v>1162.4100000000001</v>
      </c>
      <c r="BV139" s="581">
        <f t="shared" si="193"/>
        <v>7320.2999999999993</v>
      </c>
      <c r="BW139" s="643">
        <f t="shared" si="194"/>
        <v>-870.29000000000087</v>
      </c>
      <c r="BX139" s="634">
        <f t="shared" si="196"/>
        <v>-0.10259575065044091</v>
      </c>
    </row>
    <row r="140" spans="29:76" ht="24" hidden="1" customHeight="1">
      <c r="AC140" s="5">
        <v>50360</v>
      </c>
      <c r="AD140" s="659" t="s">
        <v>1015</v>
      </c>
      <c r="AE140" s="102"/>
      <c r="AF140" s="102"/>
      <c r="AG140" s="102"/>
      <c r="AH140" s="580">
        <v>12624</v>
      </c>
      <c r="AI140" s="580">
        <f t="shared" si="195"/>
        <v>5674.1900000000005</v>
      </c>
      <c r="AJ140" s="580">
        <v>0</v>
      </c>
      <c r="AK140" s="580">
        <v>138.36000000000001</v>
      </c>
      <c r="AL140" s="580">
        <v>659</v>
      </c>
      <c r="AM140" s="580">
        <v>431.84</v>
      </c>
      <c r="AN140" s="580">
        <v>153.88</v>
      </c>
      <c r="AO140" s="580">
        <v>119.26</v>
      </c>
      <c r="AP140" s="580">
        <v>44.22</v>
      </c>
      <c r="AQ140" s="580">
        <v>3.21</v>
      </c>
      <c r="AR140" s="580">
        <v>11.62</v>
      </c>
      <c r="AS140" s="640">
        <v>8.27</v>
      </c>
      <c r="AT140" s="580">
        <v>122.28</v>
      </c>
      <c r="AU140" s="580">
        <v>0</v>
      </c>
      <c r="AV140" s="580">
        <v>0</v>
      </c>
      <c r="AW140" s="580">
        <v>7.66</v>
      </c>
      <c r="AX140" s="580">
        <v>6.59</v>
      </c>
      <c r="AY140" s="580">
        <v>8.69</v>
      </c>
      <c r="AZ140" s="580">
        <v>10.96</v>
      </c>
      <c r="BA140" s="580">
        <v>8.2899999999999991</v>
      </c>
      <c r="BB140" s="580">
        <v>56.97</v>
      </c>
      <c r="BC140" s="580">
        <v>17.82</v>
      </c>
      <c r="BD140" s="580">
        <v>232.88</v>
      </c>
      <c r="BE140" s="580">
        <v>28.7</v>
      </c>
      <c r="BF140" s="580">
        <v>23.87</v>
      </c>
      <c r="BG140" s="580">
        <v>27.14</v>
      </c>
      <c r="BH140" s="580">
        <v>55.17</v>
      </c>
      <c r="BI140" s="580">
        <v>57.52</v>
      </c>
      <c r="BJ140" s="580">
        <v>228.28</v>
      </c>
      <c r="BK140" s="580">
        <v>870.87</v>
      </c>
      <c r="BL140" s="580">
        <v>76.3</v>
      </c>
      <c r="BM140" s="580">
        <v>236.25</v>
      </c>
      <c r="BN140" s="580">
        <v>66.53</v>
      </c>
      <c r="BO140" s="580">
        <v>97.19</v>
      </c>
      <c r="BP140" s="580"/>
      <c r="BQ140" s="580">
        <v>167.16</v>
      </c>
      <c r="BR140" s="580">
        <v>367.64</v>
      </c>
      <c r="BS140" s="580">
        <v>281.3</v>
      </c>
      <c r="BT140" s="580">
        <f>167.44+103.57</f>
        <v>271.01</v>
      </c>
      <c r="BU140" s="580">
        <f>281.62+156.49+143.46+69.47+126.42</f>
        <v>777.46</v>
      </c>
      <c r="BV140" s="581">
        <f t="shared" si="193"/>
        <v>4896.7300000000005</v>
      </c>
      <c r="BW140" s="643">
        <f t="shared" si="194"/>
        <v>-6949.8099999999995</v>
      </c>
      <c r="BX140" s="634">
        <f t="shared" si="196"/>
        <v>-1.2248109421785309</v>
      </c>
    </row>
    <row r="141" spans="29:76" ht="38.25" hidden="1">
      <c r="AD141" s="660" t="s">
        <v>1016</v>
      </c>
      <c r="AE141" s="103"/>
      <c r="AF141" s="103"/>
      <c r="AG141" s="103"/>
      <c r="AH141" s="581">
        <f>SUM(AH135:AH140)-1</f>
        <v>1365850</v>
      </c>
      <c r="AI141" s="581">
        <f>SUM(AI135:AI140)</f>
        <v>1421187.2599999998</v>
      </c>
      <c r="AJ141" s="581">
        <f t="shared" ref="AJ141" si="197">SUM(AJ135:AJ140)</f>
        <v>0</v>
      </c>
      <c r="AK141" s="581">
        <f>SUM(AK135:AK140)</f>
        <v>34682.670000000006</v>
      </c>
      <c r="AL141" s="581">
        <f t="shared" ref="AL141:BT141" si="198">SUM(AL135:AL140)</f>
        <v>164536.17000000001</v>
      </c>
      <c r="AM141" s="581">
        <f t="shared" si="198"/>
        <v>108818.75</v>
      </c>
      <c r="AN141" s="581">
        <f>SUM(AN135:AN140)</f>
        <v>38539.039999999994</v>
      </c>
      <c r="AO141" s="581">
        <f t="shared" si="198"/>
        <v>29883.029999999995</v>
      </c>
      <c r="AP141" s="581">
        <f t="shared" si="198"/>
        <v>11088.88</v>
      </c>
      <c r="AQ141" s="581">
        <f t="shared" si="198"/>
        <v>807.89</v>
      </c>
      <c r="AR141" s="581">
        <f t="shared" si="198"/>
        <v>2909.61</v>
      </c>
      <c r="AS141" s="581">
        <f t="shared" si="198"/>
        <v>1179.6999999999998</v>
      </c>
      <c r="AT141" s="581">
        <f t="shared" si="198"/>
        <v>30696.16</v>
      </c>
      <c r="AU141" s="581">
        <f t="shared" si="198"/>
        <v>0</v>
      </c>
      <c r="AV141" s="581">
        <f t="shared" si="198"/>
        <v>0</v>
      </c>
      <c r="AW141" s="581">
        <f t="shared" si="198"/>
        <v>1919.64</v>
      </c>
      <c r="AX141" s="581">
        <f t="shared" si="198"/>
        <v>1653.37</v>
      </c>
      <c r="AY141" s="581">
        <f t="shared" si="198"/>
        <v>2179.1</v>
      </c>
      <c r="AZ141" s="581">
        <f t="shared" si="198"/>
        <v>2769.56</v>
      </c>
      <c r="BA141" s="581">
        <f t="shared" si="198"/>
        <v>2081.21</v>
      </c>
      <c r="BB141" s="581">
        <f t="shared" si="198"/>
        <v>14268.730000000001</v>
      </c>
      <c r="BC141" s="581">
        <f t="shared" si="198"/>
        <v>4469.0499999999993</v>
      </c>
      <c r="BD141" s="581">
        <f t="shared" si="198"/>
        <v>58384.579999999994</v>
      </c>
      <c r="BE141" s="581">
        <f t="shared" si="198"/>
        <v>7194.72</v>
      </c>
      <c r="BF141" s="581">
        <f t="shared" si="198"/>
        <v>5982.5999999999995</v>
      </c>
      <c r="BG141" s="581">
        <f t="shared" si="198"/>
        <v>6819.17</v>
      </c>
      <c r="BH141" s="581">
        <f t="shared" si="198"/>
        <v>13831.04</v>
      </c>
      <c r="BI141" s="581">
        <f t="shared" si="198"/>
        <v>14422.04</v>
      </c>
      <c r="BJ141" s="581">
        <f t="shared" si="198"/>
        <v>57234.18</v>
      </c>
      <c r="BK141" s="581">
        <f t="shared" si="198"/>
        <v>218075.05</v>
      </c>
      <c r="BL141" s="581">
        <f t="shared" ref="BL141" si="199">SUM(BL135:BL140)</f>
        <v>19127.900000000001</v>
      </c>
      <c r="BM141" s="581">
        <f t="shared" si="198"/>
        <v>59213.96</v>
      </c>
      <c r="BN141" s="581">
        <f t="shared" si="198"/>
        <v>16680.25</v>
      </c>
      <c r="BO141" s="581">
        <f t="shared" si="198"/>
        <v>24331.859999999997</v>
      </c>
      <c r="BP141" s="581">
        <f t="shared" si="198"/>
        <v>0</v>
      </c>
      <c r="BQ141" s="581">
        <f t="shared" si="198"/>
        <v>40999.300000000003</v>
      </c>
      <c r="BR141" s="581">
        <f t="shared" si="198"/>
        <v>93050.97</v>
      </c>
      <c r="BS141" s="581">
        <f t="shared" si="198"/>
        <v>70525.039999999994</v>
      </c>
      <c r="BT141" s="581">
        <f t="shared" si="198"/>
        <v>67918.62</v>
      </c>
      <c r="BU141" s="581">
        <f>SUM(BU135:BU140)</f>
        <v>194913.41999999998</v>
      </c>
      <c r="BV141" s="581">
        <f>SUM(BV135:BV140)</f>
        <v>1226273.8400000001</v>
      </c>
      <c r="BW141" s="643">
        <f>SUM(BW135:BW140)</f>
        <v>55336.259999999958</v>
      </c>
      <c r="BX141" s="634">
        <f t="shared" si="196"/>
        <v>3.8937345948344526E-2</v>
      </c>
    </row>
    <row r="142" spans="29:76" ht="40.5" hidden="1" customHeight="1">
      <c r="AD142" s="661" t="s">
        <v>668</v>
      </c>
      <c r="AE142" s="662"/>
      <c r="AF142" s="662"/>
      <c r="AG142" s="662"/>
      <c r="AH142" s="663">
        <f>SUM(AH141,AH128)</f>
        <v>5415755</v>
      </c>
      <c r="AI142" s="663">
        <f>SUM(AI141,AI128)</f>
        <v>5830321.2399999993</v>
      </c>
      <c r="AJ142" s="663">
        <f t="shared" ref="AJ142" si="200">SUM(AJ141,AJ128)</f>
        <v>515624.06450395164</v>
      </c>
      <c r="AK142" s="663">
        <f>SUM(AK141,AK128)</f>
        <v>141547.72</v>
      </c>
      <c r="AL142" s="663">
        <f t="shared" ref="AL142:BT142" si="201">SUM(AL141,AL128)</f>
        <v>668297.15999999992</v>
      </c>
      <c r="AM142" s="663">
        <f t="shared" si="201"/>
        <v>447149.22</v>
      </c>
      <c r="AN142" s="663">
        <f t="shared" si="201"/>
        <v>157385.37</v>
      </c>
      <c r="AO142" s="663">
        <f t="shared" si="201"/>
        <v>123360</v>
      </c>
      <c r="AP142" s="663">
        <f t="shared" si="201"/>
        <v>45239.579999999994</v>
      </c>
      <c r="AQ142" s="663">
        <f t="shared" si="201"/>
        <v>3284.4</v>
      </c>
      <c r="AR142" s="663">
        <f t="shared" si="201"/>
        <v>11888.16</v>
      </c>
      <c r="AS142" s="663">
        <f t="shared" si="201"/>
        <v>7569.51</v>
      </c>
      <c r="AT142" s="663">
        <f t="shared" si="201"/>
        <v>125136.87</v>
      </c>
      <c r="AU142" s="663">
        <f t="shared" si="201"/>
        <v>0</v>
      </c>
      <c r="AV142" s="663">
        <f t="shared" si="201"/>
        <v>0</v>
      </c>
      <c r="AW142" s="663">
        <f t="shared" si="201"/>
        <v>7832.4900000000007</v>
      </c>
      <c r="AX142" s="663">
        <f t="shared" si="201"/>
        <v>6743.24</v>
      </c>
      <c r="AY142" s="663">
        <f t="shared" si="201"/>
        <v>8891.4599999999991</v>
      </c>
      <c r="AZ142" s="663">
        <f t="shared" si="201"/>
        <v>11234.529999999999</v>
      </c>
      <c r="BA142" s="663">
        <f t="shared" si="201"/>
        <v>8485.380000000001</v>
      </c>
      <c r="BB142" s="663">
        <f t="shared" si="201"/>
        <v>58269.91</v>
      </c>
      <c r="BC142" s="663">
        <f t="shared" si="201"/>
        <v>18236.16</v>
      </c>
      <c r="BD142" s="663">
        <f t="shared" si="201"/>
        <v>238361.5</v>
      </c>
      <c r="BE142" s="663">
        <f t="shared" si="201"/>
        <v>29496.820000000003</v>
      </c>
      <c r="BF142" s="663">
        <f t="shared" si="201"/>
        <v>24416.46</v>
      </c>
      <c r="BG142" s="663">
        <f t="shared" si="201"/>
        <v>30220.339999999997</v>
      </c>
      <c r="BH142" s="663">
        <f t="shared" si="201"/>
        <v>57240.41</v>
      </c>
      <c r="BI142" s="663">
        <f t="shared" si="201"/>
        <v>59126.99</v>
      </c>
      <c r="BJ142" s="663">
        <f t="shared" si="201"/>
        <v>237117.18999999997</v>
      </c>
      <c r="BK142" s="663">
        <f t="shared" si="201"/>
        <v>901866.78</v>
      </c>
      <c r="BL142" s="663">
        <f t="shared" si="201"/>
        <v>78056.91</v>
      </c>
      <c r="BM142" s="663">
        <f t="shared" si="201"/>
        <v>246433.96000000002</v>
      </c>
      <c r="BN142" s="663">
        <f t="shared" si="201"/>
        <v>68111.97</v>
      </c>
      <c r="BO142" s="663">
        <f t="shared" si="201"/>
        <v>99399.48</v>
      </c>
      <c r="BP142" s="663">
        <f t="shared" si="201"/>
        <v>0</v>
      </c>
      <c r="BQ142" s="663">
        <f t="shared" si="201"/>
        <v>171007.72999999998</v>
      </c>
      <c r="BR142" s="663">
        <f t="shared" si="201"/>
        <v>376999.17999999993</v>
      </c>
      <c r="BS142" s="663">
        <f t="shared" si="201"/>
        <v>287790.52999999997</v>
      </c>
      <c r="BT142" s="663">
        <f t="shared" si="201"/>
        <v>277239.45</v>
      </c>
      <c r="BU142" s="663">
        <f>SUM(BU141,BU128)</f>
        <v>796884.37999999989</v>
      </c>
      <c r="BV142" s="663">
        <f>SUM(BV141,BV128)</f>
        <v>5033436.8600000013</v>
      </c>
      <c r="BW142" s="664">
        <f>SUM(BW141,BW128)</f>
        <v>414566.24000000017</v>
      </c>
      <c r="BX142" s="665">
        <f>100%-(AH142/AI142)</f>
        <v>7.1105214092800018E-2</v>
      </c>
    </row>
    <row r="143" spans="29:76" hidden="1"/>
    <row r="144" spans="29:76" ht="15.75" hidden="1">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6"/>
      <c r="BF144" s="6"/>
      <c r="BG144" s="6"/>
      <c r="BH144" s="6"/>
      <c r="BI144" s="22"/>
      <c r="BJ144" s="22"/>
      <c r="BK144" s="22"/>
      <c r="BL144" s="6"/>
      <c r="BM144" s="6"/>
      <c r="BN144" s="22"/>
      <c r="BO144" s="22"/>
      <c r="BP144" s="22"/>
      <c r="BQ144" s="22"/>
      <c r="BR144" s="22"/>
      <c r="BS144" s="22"/>
    </row>
    <row r="145" spans="29:76" ht="15.75" hidden="1">
      <c r="AD145" s="22" t="s">
        <v>1017</v>
      </c>
      <c r="AE145" s="22"/>
      <c r="AF145" s="22"/>
      <c r="BE145" s="369"/>
      <c r="BF145" s="369"/>
      <c r="BG145" s="369"/>
      <c r="BH145" s="369"/>
      <c r="BL145" s="369"/>
      <c r="BM145" s="369"/>
    </row>
    <row r="146" spans="29:76" ht="25.5" hidden="1">
      <c r="AD146" s="648"/>
      <c r="AE146" s="649"/>
      <c r="AF146" s="649"/>
      <c r="AG146" s="649"/>
      <c r="AH146" s="650" t="s">
        <v>616</v>
      </c>
      <c r="AI146" s="650" t="s">
        <v>616</v>
      </c>
      <c r="AJ146" s="651" t="s">
        <v>692</v>
      </c>
      <c r="AK146" s="650" t="s">
        <v>31</v>
      </c>
      <c r="AL146" s="650" t="s">
        <v>693</v>
      </c>
      <c r="AM146" s="650" t="s">
        <v>31</v>
      </c>
      <c r="AN146" s="651" t="s">
        <v>690</v>
      </c>
      <c r="AO146" s="651" t="s">
        <v>690</v>
      </c>
      <c r="AP146" s="651" t="s">
        <v>690</v>
      </c>
      <c r="AQ146" s="651" t="s">
        <v>690</v>
      </c>
      <c r="AR146" s="651" t="s">
        <v>690</v>
      </c>
      <c r="AS146" s="651" t="s">
        <v>690</v>
      </c>
      <c r="AT146" s="651" t="s">
        <v>690</v>
      </c>
      <c r="AU146" s="650" t="s">
        <v>31</v>
      </c>
      <c r="AV146" s="650" t="s">
        <v>31</v>
      </c>
      <c r="AW146" s="650" t="s">
        <v>31</v>
      </c>
      <c r="AX146" s="651" t="s">
        <v>690</v>
      </c>
      <c r="AY146" s="651" t="s">
        <v>690</v>
      </c>
      <c r="AZ146" s="651" t="s">
        <v>690</v>
      </c>
      <c r="BA146" s="651" t="s">
        <v>690</v>
      </c>
      <c r="BB146" s="651" t="s">
        <v>690</v>
      </c>
      <c r="BC146" s="650" t="s">
        <v>31</v>
      </c>
      <c r="BD146" s="650" t="s">
        <v>31</v>
      </c>
      <c r="BE146" s="650" t="s">
        <v>379</v>
      </c>
      <c r="BF146" s="651" t="s">
        <v>379</v>
      </c>
      <c r="BG146" s="651" t="s">
        <v>379</v>
      </c>
      <c r="BH146" s="651" t="s">
        <v>694</v>
      </c>
      <c r="BI146" s="652" t="s">
        <v>302</v>
      </c>
      <c r="BJ146" s="653" t="s">
        <v>302</v>
      </c>
      <c r="BK146" s="652" t="s">
        <v>302</v>
      </c>
      <c r="BL146" s="650" t="s">
        <v>126</v>
      </c>
      <c r="BM146" s="651" t="s">
        <v>126</v>
      </c>
      <c r="BN146" s="652" t="s">
        <v>350</v>
      </c>
      <c r="BO146" s="650" t="s">
        <v>78</v>
      </c>
      <c r="BP146" s="652" t="s">
        <v>78</v>
      </c>
      <c r="BQ146" s="654" t="s">
        <v>695</v>
      </c>
      <c r="BR146" s="650" t="s">
        <v>696</v>
      </c>
      <c r="BS146" s="650" t="s">
        <v>71</v>
      </c>
      <c r="BT146" s="652" t="s">
        <v>697</v>
      </c>
      <c r="BU146" s="650" t="s">
        <v>674</v>
      </c>
      <c r="BV146" s="650" t="s">
        <v>1003</v>
      </c>
      <c r="BW146" s="655" t="s">
        <v>616</v>
      </c>
      <c r="BX146" s="656" t="s">
        <v>698</v>
      </c>
    </row>
    <row r="147" spans="29:76" ht="24" hidden="1" customHeight="1">
      <c r="AD147" s="666"/>
      <c r="AH147" s="96" t="s">
        <v>707</v>
      </c>
      <c r="AI147" s="96" t="s">
        <v>707</v>
      </c>
      <c r="AJ147" s="169" t="s">
        <v>708</v>
      </c>
      <c r="AK147" s="96" t="s">
        <v>36</v>
      </c>
      <c r="AL147" s="96" t="s">
        <v>30</v>
      </c>
      <c r="AM147" s="96" t="s">
        <v>36</v>
      </c>
      <c r="AN147" s="169" t="s">
        <v>36</v>
      </c>
      <c r="AO147" s="169" t="s">
        <v>36</v>
      </c>
      <c r="AP147" s="169" t="s">
        <v>709</v>
      </c>
      <c r="AQ147" s="169" t="s">
        <v>36</v>
      </c>
      <c r="AR147" s="169" t="s">
        <v>36</v>
      </c>
      <c r="AS147" s="169" t="s">
        <v>709</v>
      </c>
      <c r="AT147" s="169" t="s">
        <v>36</v>
      </c>
      <c r="AU147" s="96" t="s">
        <v>36</v>
      </c>
      <c r="AV147" s="96" t="s">
        <v>36</v>
      </c>
      <c r="AW147" s="96" t="s">
        <v>40</v>
      </c>
      <c r="AX147" s="169" t="s">
        <v>40</v>
      </c>
      <c r="AY147" s="169" t="s">
        <v>40</v>
      </c>
      <c r="AZ147" s="169" t="s">
        <v>40</v>
      </c>
      <c r="BA147" s="169" t="s">
        <v>40</v>
      </c>
      <c r="BB147" s="169" t="s">
        <v>40</v>
      </c>
      <c r="BC147" s="96" t="s">
        <v>43</v>
      </c>
      <c r="BD147" s="96" t="s">
        <v>41</v>
      </c>
      <c r="BE147" s="96" t="s">
        <v>35</v>
      </c>
      <c r="BF147" s="169" t="s">
        <v>158</v>
      </c>
      <c r="BG147" s="169" t="s">
        <v>753</v>
      </c>
      <c r="BH147" s="169" t="s">
        <v>738</v>
      </c>
      <c r="BI147" s="96" t="s">
        <v>35</v>
      </c>
      <c r="BJ147" s="169" t="s">
        <v>738</v>
      </c>
      <c r="BK147" s="96" t="s">
        <v>739</v>
      </c>
      <c r="BL147" s="96" t="s">
        <v>35</v>
      </c>
      <c r="BM147" s="169" t="s">
        <v>739</v>
      </c>
      <c r="BN147" s="96" t="s">
        <v>35</v>
      </c>
      <c r="BO147" s="96" t="s">
        <v>35</v>
      </c>
      <c r="BP147" s="96" t="s">
        <v>740</v>
      </c>
      <c r="BQ147" s="97" t="s">
        <v>710</v>
      </c>
      <c r="BR147" s="96" t="s">
        <v>711</v>
      </c>
      <c r="BS147" s="96"/>
      <c r="BT147" s="96" t="s">
        <v>712</v>
      </c>
      <c r="BU147" s="96" t="s">
        <v>713</v>
      </c>
      <c r="BV147" s="96" t="s">
        <v>1004</v>
      </c>
      <c r="BW147" s="266" t="s">
        <v>707</v>
      </c>
      <c r="BX147" s="443" t="s">
        <v>707</v>
      </c>
    </row>
    <row r="148" spans="29:76" ht="24" hidden="1" customHeight="1">
      <c r="AD148" s="667"/>
      <c r="AE148" s="668"/>
      <c r="AF148" s="668"/>
      <c r="AG148" s="106"/>
      <c r="AH148" s="98" t="s">
        <v>734</v>
      </c>
      <c r="AI148" s="99" t="s">
        <v>735</v>
      </c>
      <c r="AJ148" s="172" t="s">
        <v>736</v>
      </c>
      <c r="AK148" s="98" t="s">
        <v>737</v>
      </c>
      <c r="AL148" s="98" t="s">
        <v>35</v>
      </c>
      <c r="AM148" s="98" t="s">
        <v>738</v>
      </c>
      <c r="AN148" s="171" t="s">
        <v>158</v>
      </c>
      <c r="AO148" s="171" t="s">
        <v>739</v>
      </c>
      <c r="AP148" s="172" t="s">
        <v>740</v>
      </c>
      <c r="AQ148" s="172" t="s">
        <v>741</v>
      </c>
      <c r="AR148" s="172" t="s">
        <v>742</v>
      </c>
      <c r="AS148" s="172" t="s">
        <v>743</v>
      </c>
      <c r="AT148" s="171" t="s">
        <v>744</v>
      </c>
      <c r="AU148" s="99" t="s">
        <v>1018</v>
      </c>
      <c r="AV148" s="99" t="s">
        <v>746</v>
      </c>
      <c r="AW148" s="99" t="str">
        <f>AW134</f>
        <v xml:space="preserve">DIABETES SELF MANAGEMENT </v>
      </c>
      <c r="AX148" s="172" t="s">
        <v>748</v>
      </c>
      <c r="AY148" s="172" t="s">
        <v>749</v>
      </c>
      <c r="AZ148" s="172" t="s">
        <v>750</v>
      </c>
      <c r="BA148" s="172" t="s">
        <v>751</v>
      </c>
      <c r="BB148" s="172" t="s">
        <v>752</v>
      </c>
      <c r="BC148" s="98"/>
      <c r="BD148" s="98"/>
      <c r="BE148" s="98"/>
      <c r="BF148" s="98"/>
      <c r="BG148" s="98"/>
      <c r="BH148" s="98"/>
      <c r="BI148" s="99"/>
      <c r="BJ148" s="99"/>
      <c r="BK148" s="99"/>
      <c r="BL148" s="98"/>
      <c r="BM148" s="98"/>
      <c r="BN148" s="99"/>
      <c r="BO148" s="99"/>
      <c r="BP148" s="99"/>
      <c r="BQ148" s="100" t="s">
        <v>754</v>
      </c>
      <c r="BR148" s="98"/>
      <c r="BS148" s="98"/>
      <c r="BT148" s="172" t="s">
        <v>755</v>
      </c>
      <c r="BU148" s="98" t="s">
        <v>756</v>
      </c>
      <c r="BV148" s="98" t="s">
        <v>620</v>
      </c>
      <c r="BW148" s="268" t="s">
        <v>758</v>
      </c>
      <c r="BX148" s="444" t="s">
        <v>758</v>
      </c>
    </row>
    <row r="149" spans="29:76" ht="24" hidden="1" customHeight="1">
      <c r="AC149" s="5">
        <v>50920</v>
      </c>
      <c r="AD149" s="658" t="s">
        <v>1019</v>
      </c>
      <c r="AE149" s="101"/>
      <c r="AF149" s="101"/>
      <c r="AG149" s="104"/>
      <c r="AH149" s="640">
        <v>33931</v>
      </c>
      <c r="AI149" s="640">
        <f t="shared" ref="AI149:AI152" si="202">SUM(AK149:BU149)</f>
        <v>43634.290000000008</v>
      </c>
      <c r="AJ149" s="640">
        <v>0</v>
      </c>
      <c r="AK149" s="640">
        <v>0</v>
      </c>
      <c r="AL149" s="640">
        <v>1973.08</v>
      </c>
      <c r="AM149" s="640">
        <v>0</v>
      </c>
      <c r="AN149" s="640">
        <v>679.17</v>
      </c>
      <c r="AO149" s="640">
        <v>0</v>
      </c>
      <c r="AP149" s="640">
        <v>2100</v>
      </c>
      <c r="AQ149" s="640">
        <v>0</v>
      </c>
      <c r="AR149" s="640">
        <v>0</v>
      </c>
      <c r="AS149" s="640">
        <v>0</v>
      </c>
      <c r="AT149" s="640">
        <v>2536.33</v>
      </c>
      <c r="AU149" s="640">
        <v>0</v>
      </c>
      <c r="AV149" s="640">
        <v>0</v>
      </c>
      <c r="AW149" s="640">
        <v>0</v>
      </c>
      <c r="AX149" s="640">
        <f>188.81+250</f>
        <v>438.81</v>
      </c>
      <c r="AY149" s="640">
        <v>115.2</v>
      </c>
      <c r="AZ149" s="640">
        <v>234.36</v>
      </c>
      <c r="BA149" s="640">
        <v>448.75</v>
      </c>
      <c r="BB149" s="640">
        <f>923.8+96.12</f>
        <v>1019.92</v>
      </c>
      <c r="BC149" s="640">
        <v>0</v>
      </c>
      <c r="BD149" s="640">
        <f>1950+99.68</f>
        <v>2049.6799999999998</v>
      </c>
      <c r="BE149" s="640">
        <v>0</v>
      </c>
      <c r="BF149" s="640">
        <v>422.61</v>
      </c>
      <c r="BG149" s="640">
        <v>3158.68</v>
      </c>
      <c r="BH149" s="640">
        <v>0</v>
      </c>
      <c r="BI149" s="640">
        <v>0</v>
      </c>
      <c r="BJ149" s="640">
        <v>0</v>
      </c>
      <c r="BK149" s="640">
        <f>246.04+94</f>
        <v>340.03999999999996</v>
      </c>
      <c r="BL149" s="640">
        <v>110.1</v>
      </c>
      <c r="BM149" s="640">
        <v>60.52</v>
      </c>
      <c r="BN149" s="640">
        <v>0</v>
      </c>
      <c r="BO149" s="640">
        <v>336.61</v>
      </c>
      <c r="BP149" s="580"/>
      <c r="BQ149" s="640">
        <v>0</v>
      </c>
      <c r="BR149" s="640">
        <v>0</v>
      </c>
      <c r="BS149" s="640">
        <v>965.06</v>
      </c>
      <c r="BT149" s="640">
        <f>63.56</f>
        <v>63.56</v>
      </c>
      <c r="BU149" s="640">
        <f>6521.7+2500+2976.28+3145.43+75.74+557.36+10805.3</f>
        <v>26581.81</v>
      </c>
      <c r="BV149" s="669">
        <f>SUM(AK149:BU149)-BU149</f>
        <v>17052.480000000007</v>
      </c>
      <c r="BW149" s="670">
        <f>SUM(AI149-AH149)</f>
        <v>9703.2900000000081</v>
      </c>
      <c r="BX149" s="671">
        <f>100%-(AH149/AI149)</f>
        <v>0.22237763007029576</v>
      </c>
    </row>
    <row r="150" spans="29:76" ht="24" hidden="1" customHeight="1">
      <c r="AC150" s="5">
        <v>50930</v>
      </c>
      <c r="AD150" s="897" t="s">
        <v>1020</v>
      </c>
      <c r="AE150" s="898"/>
      <c r="AF150" s="898"/>
      <c r="AG150" s="899"/>
      <c r="AH150" s="640">
        <v>2050</v>
      </c>
      <c r="AI150" s="640">
        <f>SUM(AK150:BU150)</f>
        <v>1860</v>
      </c>
      <c r="AJ150" s="640">
        <v>0</v>
      </c>
      <c r="AK150" s="640">
        <v>0</v>
      </c>
      <c r="AL150" s="640">
        <v>0</v>
      </c>
      <c r="AM150" s="640">
        <v>0</v>
      </c>
      <c r="AN150" s="640">
        <v>0</v>
      </c>
      <c r="AO150" s="640">
        <v>0</v>
      </c>
      <c r="AP150" s="640">
        <v>0</v>
      </c>
      <c r="AQ150" s="640">
        <v>0</v>
      </c>
      <c r="AR150" s="640">
        <v>0</v>
      </c>
      <c r="AS150" s="640">
        <v>0</v>
      </c>
      <c r="AT150" s="640">
        <v>0</v>
      </c>
      <c r="AU150" s="640">
        <v>0</v>
      </c>
      <c r="AV150" s="640">
        <v>0</v>
      </c>
      <c r="AW150" s="640">
        <v>0</v>
      </c>
      <c r="AX150" s="640">
        <v>0</v>
      </c>
      <c r="AY150" s="640">
        <v>0</v>
      </c>
      <c r="AZ150" s="640">
        <v>0</v>
      </c>
      <c r="BA150" s="640">
        <v>0</v>
      </c>
      <c r="BB150" s="640">
        <v>0</v>
      </c>
      <c r="BC150" s="640">
        <v>0</v>
      </c>
      <c r="BD150" s="640">
        <v>0</v>
      </c>
      <c r="BE150" s="640">
        <v>0</v>
      </c>
      <c r="BF150" s="640">
        <v>0</v>
      </c>
      <c r="BG150" s="640">
        <v>0</v>
      </c>
      <c r="BH150" s="640">
        <v>0</v>
      </c>
      <c r="BI150" s="640">
        <v>0</v>
      </c>
      <c r="BJ150" s="640">
        <v>0</v>
      </c>
      <c r="BK150" s="640">
        <v>0</v>
      </c>
      <c r="BL150" s="640">
        <v>0</v>
      </c>
      <c r="BM150" s="640">
        <v>0</v>
      </c>
      <c r="BN150" s="640">
        <v>0</v>
      </c>
      <c r="BO150" s="640">
        <v>0</v>
      </c>
      <c r="BP150" s="580"/>
      <c r="BQ150" s="640">
        <v>0</v>
      </c>
      <c r="BR150" s="640">
        <v>0</v>
      </c>
      <c r="BS150" s="640">
        <v>0</v>
      </c>
      <c r="BT150" s="640">
        <v>0</v>
      </c>
      <c r="BU150" s="640">
        <v>1860</v>
      </c>
      <c r="BV150" s="669">
        <f>SUM(AK150:BU150)-BU150</f>
        <v>0</v>
      </c>
      <c r="BW150" s="670">
        <f>SUM(AI150-AH150)</f>
        <v>-190</v>
      </c>
      <c r="BX150" s="671">
        <f t="shared" ref="BX150:BX152" si="203">100%-(AH150/AI150)</f>
        <v>-0.10215053763440851</v>
      </c>
    </row>
    <row r="151" spans="29:76" ht="24" hidden="1" customHeight="1">
      <c r="AC151" s="5">
        <v>50930</v>
      </c>
      <c r="AD151" s="897" t="s">
        <v>1021</v>
      </c>
      <c r="AE151" s="898"/>
      <c r="AF151" s="898"/>
      <c r="AG151" s="899"/>
      <c r="AH151" s="640">
        <v>0</v>
      </c>
      <c r="AI151" s="640">
        <f t="shared" si="202"/>
        <v>13800</v>
      </c>
      <c r="AJ151" s="640">
        <v>0</v>
      </c>
      <c r="AK151" s="640">
        <v>0</v>
      </c>
      <c r="AL151" s="640">
        <v>13800</v>
      </c>
      <c r="AM151" s="640">
        <v>0</v>
      </c>
      <c r="AN151" s="640">
        <v>0</v>
      </c>
      <c r="AO151" s="640">
        <v>0</v>
      </c>
      <c r="AP151" s="640">
        <v>0</v>
      </c>
      <c r="AQ151" s="640">
        <v>0</v>
      </c>
      <c r="AR151" s="640">
        <v>0</v>
      </c>
      <c r="AS151" s="640">
        <v>0</v>
      </c>
      <c r="AT151" s="640">
        <v>0</v>
      </c>
      <c r="AU151" s="640">
        <v>0</v>
      </c>
      <c r="AV151" s="640">
        <v>0</v>
      </c>
      <c r="AW151" s="640">
        <v>0</v>
      </c>
      <c r="AX151" s="640">
        <v>0</v>
      </c>
      <c r="AY151" s="640">
        <v>0</v>
      </c>
      <c r="AZ151" s="640">
        <v>0</v>
      </c>
      <c r="BA151" s="640">
        <v>0</v>
      </c>
      <c r="BB151" s="640">
        <v>0</v>
      </c>
      <c r="BC151" s="640">
        <v>0</v>
      </c>
      <c r="BD151" s="640">
        <v>0</v>
      </c>
      <c r="BE151" s="640">
        <v>0</v>
      </c>
      <c r="BF151" s="640">
        <v>0</v>
      </c>
      <c r="BG151" s="640">
        <v>0</v>
      </c>
      <c r="BH151" s="640">
        <v>0</v>
      </c>
      <c r="BI151" s="640">
        <v>0</v>
      </c>
      <c r="BJ151" s="640">
        <v>0</v>
      </c>
      <c r="BK151" s="640">
        <v>0</v>
      </c>
      <c r="BL151" s="640">
        <v>0</v>
      </c>
      <c r="BM151" s="640">
        <v>0</v>
      </c>
      <c r="BN151" s="640">
        <v>0</v>
      </c>
      <c r="BO151" s="640">
        <v>0</v>
      </c>
      <c r="BP151" s="580"/>
      <c r="BQ151" s="640">
        <v>0</v>
      </c>
      <c r="BR151" s="640">
        <v>0</v>
      </c>
      <c r="BS151" s="640">
        <v>0</v>
      </c>
      <c r="BT151" s="640">
        <v>0</v>
      </c>
      <c r="BU151" s="640">
        <v>0</v>
      </c>
      <c r="BV151" s="669">
        <f>SUM(AK151:BU151)-BU151</f>
        <v>13800</v>
      </c>
      <c r="BW151" s="670">
        <f>SUM(AI151-AH151)</f>
        <v>13800</v>
      </c>
      <c r="BX151" s="671">
        <f>100%-(AH151/AI151)</f>
        <v>1</v>
      </c>
    </row>
    <row r="152" spans="29:76" ht="24" hidden="1" customHeight="1">
      <c r="AC152" s="5">
        <v>52430</v>
      </c>
      <c r="AD152" s="659" t="s">
        <v>1022</v>
      </c>
      <c r="AE152" s="102"/>
      <c r="AF152" s="102"/>
      <c r="AG152" s="105"/>
      <c r="AH152" s="580">
        <v>2174</v>
      </c>
      <c r="AI152" s="580">
        <f t="shared" si="202"/>
        <v>2173.86</v>
      </c>
      <c r="AJ152" s="640">
        <v>0</v>
      </c>
      <c r="AK152" s="580">
        <v>0</v>
      </c>
      <c r="AL152" s="580">
        <v>0</v>
      </c>
      <c r="AM152" s="580">
        <v>0</v>
      </c>
      <c r="AN152" s="580">
        <v>0</v>
      </c>
      <c r="AO152" s="580">
        <v>0</v>
      </c>
      <c r="AP152" s="580">
        <v>0</v>
      </c>
      <c r="AQ152" s="580">
        <v>0</v>
      </c>
      <c r="AR152" s="580">
        <v>0</v>
      </c>
      <c r="AS152" s="580">
        <v>0</v>
      </c>
      <c r="AT152" s="580">
        <v>0</v>
      </c>
      <c r="AU152" s="580">
        <v>0</v>
      </c>
      <c r="AV152" s="580">
        <v>0</v>
      </c>
      <c r="AW152" s="580">
        <v>0</v>
      </c>
      <c r="AX152" s="580">
        <v>0</v>
      </c>
      <c r="AY152" s="580">
        <v>0</v>
      </c>
      <c r="AZ152" s="580">
        <v>0</v>
      </c>
      <c r="BA152" s="580">
        <v>0</v>
      </c>
      <c r="BB152" s="580">
        <v>0</v>
      </c>
      <c r="BC152" s="580">
        <v>0</v>
      </c>
      <c r="BD152" s="580">
        <v>0</v>
      </c>
      <c r="BE152" s="580">
        <v>0</v>
      </c>
      <c r="BF152" s="580">
        <v>0</v>
      </c>
      <c r="BG152" s="580">
        <v>0</v>
      </c>
      <c r="BH152" s="580">
        <v>0</v>
      </c>
      <c r="BI152" s="580">
        <v>0</v>
      </c>
      <c r="BJ152" s="580">
        <v>0</v>
      </c>
      <c r="BK152" s="580">
        <v>0</v>
      </c>
      <c r="BL152" s="580">
        <v>0</v>
      </c>
      <c r="BM152" s="580">
        <v>0</v>
      </c>
      <c r="BN152" s="580">
        <v>0</v>
      </c>
      <c r="BO152" s="580">
        <v>0</v>
      </c>
      <c r="BP152" s="580"/>
      <c r="BQ152" s="580">
        <v>0</v>
      </c>
      <c r="BR152" s="580">
        <v>0</v>
      </c>
      <c r="BS152" s="580">
        <v>2173.86</v>
      </c>
      <c r="BT152" s="580">
        <v>0</v>
      </c>
      <c r="BU152" s="580">
        <v>0</v>
      </c>
      <c r="BV152" s="669">
        <f>SUM(AK152:BU152)-BU152</f>
        <v>2173.86</v>
      </c>
      <c r="BW152" s="670">
        <f>SUM(AI152-AH152)</f>
        <v>-0.13999999999987267</v>
      </c>
      <c r="BX152" s="671">
        <f t="shared" si="203"/>
        <v>-6.4401571398198243E-5</v>
      </c>
    </row>
    <row r="153" spans="29:76" ht="26.25" hidden="1" thickBot="1">
      <c r="AD153" s="661" t="s">
        <v>1023</v>
      </c>
      <c r="AE153" s="662"/>
      <c r="AF153" s="662"/>
      <c r="AG153" s="672"/>
      <c r="AH153" s="663">
        <f>SUM(AH149:AH152)</f>
        <v>38155</v>
      </c>
      <c r="AI153" s="663">
        <f t="shared" ref="AI153:BW153" si="204">SUM(AI149:AI152)</f>
        <v>61468.150000000009</v>
      </c>
      <c r="AJ153" s="663">
        <f t="shared" si="204"/>
        <v>0</v>
      </c>
      <c r="AK153" s="663">
        <f t="shared" si="204"/>
        <v>0</v>
      </c>
      <c r="AL153" s="663">
        <f t="shared" si="204"/>
        <v>15773.08</v>
      </c>
      <c r="AM153" s="663">
        <f t="shared" si="204"/>
        <v>0</v>
      </c>
      <c r="AN153" s="663">
        <f t="shared" si="204"/>
        <v>679.17</v>
      </c>
      <c r="AO153" s="663">
        <f t="shared" si="204"/>
        <v>0</v>
      </c>
      <c r="AP153" s="663">
        <f t="shared" si="204"/>
        <v>2100</v>
      </c>
      <c r="AQ153" s="663">
        <f t="shared" si="204"/>
        <v>0</v>
      </c>
      <c r="AR153" s="663">
        <f t="shared" si="204"/>
        <v>0</v>
      </c>
      <c r="AS153" s="663">
        <f t="shared" si="204"/>
        <v>0</v>
      </c>
      <c r="AT153" s="663">
        <f t="shared" si="204"/>
        <v>2536.33</v>
      </c>
      <c r="AU153" s="663">
        <f t="shared" si="204"/>
        <v>0</v>
      </c>
      <c r="AV153" s="663">
        <f t="shared" si="204"/>
        <v>0</v>
      </c>
      <c r="AW153" s="663">
        <f t="shared" si="204"/>
        <v>0</v>
      </c>
      <c r="AX153" s="663">
        <f t="shared" si="204"/>
        <v>438.81</v>
      </c>
      <c r="AY153" s="663">
        <f t="shared" si="204"/>
        <v>115.2</v>
      </c>
      <c r="AZ153" s="663">
        <f t="shared" si="204"/>
        <v>234.36</v>
      </c>
      <c r="BA153" s="663">
        <f t="shared" si="204"/>
        <v>448.75</v>
      </c>
      <c r="BB153" s="663">
        <f t="shared" si="204"/>
        <v>1019.92</v>
      </c>
      <c r="BC153" s="663">
        <f t="shared" si="204"/>
        <v>0</v>
      </c>
      <c r="BD153" s="663">
        <f t="shared" si="204"/>
        <v>2049.6799999999998</v>
      </c>
      <c r="BE153" s="663">
        <f t="shared" si="204"/>
        <v>0</v>
      </c>
      <c r="BF153" s="663">
        <f t="shared" si="204"/>
        <v>422.61</v>
      </c>
      <c r="BG153" s="663">
        <f t="shared" si="204"/>
        <v>3158.68</v>
      </c>
      <c r="BH153" s="663">
        <f t="shared" si="204"/>
        <v>0</v>
      </c>
      <c r="BI153" s="663">
        <f t="shared" si="204"/>
        <v>0</v>
      </c>
      <c r="BJ153" s="663">
        <f t="shared" si="204"/>
        <v>0</v>
      </c>
      <c r="BK153" s="663">
        <f t="shared" si="204"/>
        <v>340.03999999999996</v>
      </c>
      <c r="BL153" s="663">
        <f t="shared" si="204"/>
        <v>110.1</v>
      </c>
      <c r="BM153" s="663">
        <f t="shared" si="204"/>
        <v>60.52</v>
      </c>
      <c r="BN153" s="663">
        <f t="shared" si="204"/>
        <v>0</v>
      </c>
      <c r="BO153" s="663">
        <f t="shared" si="204"/>
        <v>336.61</v>
      </c>
      <c r="BP153" s="663">
        <f t="shared" si="204"/>
        <v>0</v>
      </c>
      <c r="BQ153" s="663">
        <f t="shared" si="204"/>
        <v>0</v>
      </c>
      <c r="BR153" s="663">
        <f t="shared" si="204"/>
        <v>0</v>
      </c>
      <c r="BS153" s="663">
        <f t="shared" si="204"/>
        <v>3138.92</v>
      </c>
      <c r="BT153" s="663">
        <f t="shared" si="204"/>
        <v>63.56</v>
      </c>
      <c r="BU153" s="663">
        <f t="shared" si="204"/>
        <v>28441.81</v>
      </c>
      <c r="BV153" s="663">
        <f t="shared" si="204"/>
        <v>33026.340000000004</v>
      </c>
      <c r="BW153" s="664">
        <f t="shared" si="204"/>
        <v>23313.150000000009</v>
      </c>
      <c r="BX153" s="673">
        <f>100%-(AH153/AI153)</f>
        <v>0.3792720294982036</v>
      </c>
    </row>
    <row r="154" spans="29:76" ht="24" hidden="1" customHeight="1">
      <c r="AD154" s="900" t="s">
        <v>1024</v>
      </c>
      <c r="AE154" s="900"/>
      <c r="AF154" s="900"/>
      <c r="AG154" s="900"/>
      <c r="AH154" s="900"/>
      <c r="AI154" s="900"/>
      <c r="AJ154" s="900"/>
      <c r="AK154" s="900"/>
      <c r="AL154" s="900"/>
      <c r="AM154" s="900"/>
      <c r="AN154" s="900"/>
      <c r="AO154" s="900"/>
      <c r="AP154" s="900"/>
      <c r="AQ154" s="900"/>
      <c r="AR154" s="900"/>
      <c r="AS154" s="22"/>
      <c r="AT154" s="22"/>
      <c r="AU154" s="22"/>
      <c r="AV154" s="22"/>
      <c r="AW154" s="22"/>
      <c r="AX154" s="22"/>
      <c r="AY154" s="22"/>
      <c r="AZ154" s="22"/>
      <c r="BA154" s="22"/>
      <c r="BB154" s="22"/>
      <c r="BC154" s="22"/>
      <c r="BD154" s="22"/>
      <c r="BE154" s="6"/>
      <c r="BF154" s="6"/>
      <c r="BG154" s="6"/>
      <c r="BH154" s="6"/>
      <c r="BI154" s="22"/>
      <c r="BJ154" s="22"/>
      <c r="BK154" s="22"/>
      <c r="BL154" s="6"/>
      <c r="BM154" s="6"/>
      <c r="BN154" s="22"/>
      <c r="BO154" s="22"/>
      <c r="BP154" s="22"/>
      <c r="BQ154" s="22"/>
      <c r="BR154" s="22"/>
      <c r="BS154" s="22"/>
    </row>
    <row r="155" spans="29:76" ht="24" hidden="1" customHeight="1">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6"/>
      <c r="BF155" s="6"/>
      <c r="BG155" s="6"/>
      <c r="BH155" s="6"/>
      <c r="BI155" s="22"/>
      <c r="BJ155" s="22"/>
      <c r="BK155" s="22"/>
      <c r="BL155" s="6"/>
      <c r="BM155" s="6"/>
      <c r="BN155" s="22"/>
      <c r="BO155" s="22"/>
      <c r="BP155" s="22"/>
      <c r="BQ155" s="22"/>
      <c r="BR155" s="22"/>
      <c r="BS155" s="22"/>
    </row>
    <row r="156" spans="29:76" ht="15" hidden="1" thickBot="1">
      <c r="AD156" s="901" t="s">
        <v>1025</v>
      </c>
      <c r="AE156" s="901"/>
      <c r="AF156" s="901"/>
      <c r="AG156" s="901"/>
      <c r="AH156" s="5" t="s">
        <v>1026</v>
      </c>
      <c r="AI156" s="5" t="s">
        <v>1026</v>
      </c>
    </row>
    <row r="157" spans="29:76" ht="25.5" hidden="1">
      <c r="AD157" s="648"/>
      <c r="AE157" s="649"/>
      <c r="AF157" s="649"/>
      <c r="AG157" s="649"/>
      <c r="AH157" s="650" t="s">
        <v>616</v>
      </c>
      <c r="AI157" s="650" t="s">
        <v>616</v>
      </c>
      <c r="AJ157" s="651" t="s">
        <v>692</v>
      </c>
      <c r="AK157" s="650" t="s">
        <v>31</v>
      </c>
      <c r="AL157" s="650" t="s">
        <v>693</v>
      </c>
      <c r="AM157" s="650" t="s">
        <v>31</v>
      </c>
      <c r="AN157" s="651" t="s">
        <v>690</v>
      </c>
      <c r="AO157" s="651" t="s">
        <v>690</v>
      </c>
      <c r="AP157" s="651" t="s">
        <v>690</v>
      </c>
      <c r="AQ157" s="651" t="s">
        <v>690</v>
      </c>
      <c r="AR157" s="651" t="s">
        <v>690</v>
      </c>
      <c r="AS157" s="651" t="s">
        <v>690</v>
      </c>
      <c r="AT157" s="651" t="s">
        <v>690</v>
      </c>
      <c r="AU157" s="651" t="s">
        <v>690</v>
      </c>
      <c r="AV157" s="651" t="s">
        <v>690</v>
      </c>
      <c r="AW157" s="650" t="s">
        <v>31</v>
      </c>
      <c r="AX157" s="651" t="s">
        <v>690</v>
      </c>
      <c r="AY157" s="651" t="s">
        <v>690</v>
      </c>
      <c r="AZ157" s="651" t="s">
        <v>690</v>
      </c>
      <c r="BA157" s="651" t="s">
        <v>690</v>
      </c>
      <c r="BB157" s="651" t="s">
        <v>690</v>
      </c>
      <c r="BC157" s="650" t="s">
        <v>31</v>
      </c>
      <c r="BD157" s="650" t="s">
        <v>31</v>
      </c>
      <c r="BE157" s="650" t="s">
        <v>379</v>
      </c>
      <c r="BF157" s="651" t="s">
        <v>379</v>
      </c>
      <c r="BG157" s="651" t="s">
        <v>379</v>
      </c>
      <c r="BH157" s="651" t="s">
        <v>694</v>
      </c>
      <c r="BI157" s="652" t="s">
        <v>302</v>
      </c>
      <c r="BJ157" s="653" t="s">
        <v>302</v>
      </c>
      <c r="BK157" s="652" t="s">
        <v>302</v>
      </c>
      <c r="BL157" s="650" t="s">
        <v>126</v>
      </c>
      <c r="BM157" s="651" t="s">
        <v>126</v>
      </c>
      <c r="BN157" s="652" t="s">
        <v>350</v>
      </c>
      <c r="BO157" s="650" t="s">
        <v>78</v>
      </c>
      <c r="BP157" s="652" t="s">
        <v>78</v>
      </c>
      <c r="BQ157" s="654" t="s">
        <v>695</v>
      </c>
      <c r="BR157" s="650" t="s">
        <v>696</v>
      </c>
      <c r="BS157" s="650" t="s">
        <v>71</v>
      </c>
      <c r="BT157" s="652" t="s">
        <v>697</v>
      </c>
      <c r="BU157" s="650" t="s">
        <v>674</v>
      </c>
      <c r="BV157" s="650" t="s">
        <v>1003</v>
      </c>
      <c r="BW157" s="655" t="s">
        <v>616</v>
      </c>
      <c r="BX157" s="656" t="s">
        <v>698</v>
      </c>
    </row>
    <row r="158" spans="29:76" ht="24" hidden="1" customHeight="1">
      <c r="AD158" s="657"/>
      <c r="AE158" s="9"/>
      <c r="AF158" s="9"/>
      <c r="AG158" s="9"/>
      <c r="AH158" s="96" t="s">
        <v>707</v>
      </c>
      <c r="AI158" s="96" t="s">
        <v>707</v>
      </c>
      <c r="AJ158" s="169" t="s">
        <v>708</v>
      </c>
      <c r="AK158" s="96" t="s">
        <v>36</v>
      </c>
      <c r="AL158" s="96" t="s">
        <v>30</v>
      </c>
      <c r="AM158" s="96" t="s">
        <v>36</v>
      </c>
      <c r="AN158" s="169" t="s">
        <v>36</v>
      </c>
      <c r="AO158" s="169" t="s">
        <v>36</v>
      </c>
      <c r="AP158" s="169" t="s">
        <v>709</v>
      </c>
      <c r="AQ158" s="169" t="s">
        <v>36</v>
      </c>
      <c r="AR158" s="169" t="s">
        <v>36</v>
      </c>
      <c r="AS158" s="169" t="s">
        <v>709</v>
      </c>
      <c r="AT158" s="169" t="s">
        <v>36</v>
      </c>
      <c r="AU158" s="169" t="s">
        <v>36</v>
      </c>
      <c r="AV158" s="169" t="s">
        <v>36</v>
      </c>
      <c r="AW158" s="96" t="s">
        <v>40</v>
      </c>
      <c r="AX158" s="169" t="s">
        <v>40</v>
      </c>
      <c r="AY158" s="169" t="s">
        <v>40</v>
      </c>
      <c r="AZ158" s="169" t="s">
        <v>40</v>
      </c>
      <c r="BA158" s="169" t="s">
        <v>40</v>
      </c>
      <c r="BB158" s="169" t="s">
        <v>40</v>
      </c>
      <c r="BC158" s="96" t="s">
        <v>43</v>
      </c>
      <c r="BD158" s="96" t="s">
        <v>41</v>
      </c>
      <c r="BE158" s="96" t="s">
        <v>35</v>
      </c>
      <c r="BF158" s="169" t="s">
        <v>158</v>
      </c>
      <c r="BG158" s="169" t="s">
        <v>753</v>
      </c>
      <c r="BH158" s="169" t="s">
        <v>738</v>
      </c>
      <c r="BI158" s="96" t="s">
        <v>35</v>
      </c>
      <c r="BJ158" s="169" t="s">
        <v>738</v>
      </c>
      <c r="BK158" s="96" t="s">
        <v>739</v>
      </c>
      <c r="BL158" s="96" t="s">
        <v>35</v>
      </c>
      <c r="BM158" s="169" t="s">
        <v>739</v>
      </c>
      <c r="BN158" s="96" t="s">
        <v>35</v>
      </c>
      <c r="BO158" s="96" t="s">
        <v>35</v>
      </c>
      <c r="BP158" s="96" t="s">
        <v>740</v>
      </c>
      <c r="BQ158" s="97" t="s">
        <v>710</v>
      </c>
      <c r="BR158" s="96" t="s">
        <v>711</v>
      </c>
      <c r="BS158" s="96"/>
      <c r="BT158" s="96" t="s">
        <v>712</v>
      </c>
      <c r="BU158" s="96" t="s">
        <v>713</v>
      </c>
      <c r="BV158" s="96" t="s">
        <v>1004</v>
      </c>
      <c r="BW158" s="266" t="s">
        <v>707</v>
      </c>
      <c r="BX158" s="443" t="s">
        <v>707</v>
      </c>
    </row>
    <row r="159" spans="29:76" ht="24" hidden="1" customHeight="1">
      <c r="AD159" s="658"/>
      <c r="AE159" s="101"/>
      <c r="AF159" s="101"/>
      <c r="AG159" s="104"/>
      <c r="AH159" s="98" t="s">
        <v>734</v>
      </c>
      <c r="AI159" s="99" t="s">
        <v>735</v>
      </c>
      <c r="AJ159" s="172" t="s">
        <v>736</v>
      </c>
      <c r="AK159" s="98" t="s">
        <v>737</v>
      </c>
      <c r="AL159" s="98" t="s">
        <v>35</v>
      </c>
      <c r="AM159" s="98" t="s">
        <v>738</v>
      </c>
      <c r="AN159" s="171" t="s">
        <v>158</v>
      </c>
      <c r="AO159" s="171" t="s">
        <v>739</v>
      </c>
      <c r="AP159" s="172" t="s">
        <v>740</v>
      </c>
      <c r="AQ159" s="172" t="s">
        <v>741</v>
      </c>
      <c r="AR159" s="172" t="s">
        <v>742</v>
      </c>
      <c r="AS159" s="172" t="s">
        <v>743</v>
      </c>
      <c r="AT159" s="171" t="s">
        <v>744</v>
      </c>
      <c r="AU159" s="99" t="s">
        <v>1018</v>
      </c>
      <c r="AV159" s="99" t="s">
        <v>746</v>
      </c>
      <c r="AW159" s="99" t="str">
        <f>AW134</f>
        <v xml:space="preserve">DIABETES SELF MANAGEMENT </v>
      </c>
      <c r="AX159" s="172" t="s">
        <v>748</v>
      </c>
      <c r="AY159" s="172" t="s">
        <v>749</v>
      </c>
      <c r="AZ159" s="172" t="s">
        <v>750</v>
      </c>
      <c r="BA159" s="172" t="s">
        <v>751</v>
      </c>
      <c r="BB159" s="172" t="s">
        <v>752</v>
      </c>
      <c r="BC159" s="98"/>
      <c r="BD159" s="98"/>
      <c r="BE159" s="98"/>
      <c r="BF159" s="98"/>
      <c r="BG159" s="98"/>
      <c r="BH159" s="98"/>
      <c r="BI159" s="99"/>
      <c r="BJ159" s="99"/>
      <c r="BK159" s="99"/>
      <c r="BL159" s="98"/>
      <c r="BM159" s="98"/>
      <c r="BN159" s="99"/>
      <c r="BO159" s="99"/>
      <c r="BP159" s="99"/>
      <c r="BQ159" s="100" t="s">
        <v>754</v>
      </c>
      <c r="BR159" s="98"/>
      <c r="BS159" s="98"/>
      <c r="BT159" s="172" t="s">
        <v>755</v>
      </c>
      <c r="BU159" s="98" t="s">
        <v>756</v>
      </c>
      <c r="BV159" s="98" t="s">
        <v>620</v>
      </c>
      <c r="BW159" s="268" t="s">
        <v>758</v>
      </c>
      <c r="BX159" s="444" t="s">
        <v>758</v>
      </c>
    </row>
    <row r="160" spans="29:76" ht="24" hidden="1" customHeight="1">
      <c r="AC160" s="5">
        <v>52199</v>
      </c>
      <c r="AD160" s="902" t="s">
        <v>1027</v>
      </c>
      <c r="AE160" s="891"/>
      <c r="AF160" s="891"/>
      <c r="AG160" s="892"/>
      <c r="AH160" s="640">
        <v>0</v>
      </c>
      <c r="AI160" s="640">
        <f t="shared" ref="AI160:AI163" si="205">SUM(AK160:BU160)</f>
        <v>0</v>
      </c>
      <c r="AJ160" s="640">
        <v>0</v>
      </c>
      <c r="AK160" s="640">
        <v>0</v>
      </c>
      <c r="AL160" s="640">
        <v>0</v>
      </c>
      <c r="AM160" s="640">
        <v>0</v>
      </c>
      <c r="AN160" s="640">
        <v>0</v>
      </c>
      <c r="AO160" s="640">
        <v>0</v>
      </c>
      <c r="AP160" s="640">
        <v>0</v>
      </c>
      <c r="AQ160" s="640">
        <v>0</v>
      </c>
      <c r="AR160" s="640">
        <v>0</v>
      </c>
      <c r="AS160" s="640">
        <v>0</v>
      </c>
      <c r="AT160" s="640">
        <v>0</v>
      </c>
      <c r="AU160" s="640">
        <v>0</v>
      </c>
      <c r="AV160" s="640">
        <v>0</v>
      </c>
      <c r="AW160" s="640">
        <v>0</v>
      </c>
      <c r="AX160" s="640">
        <v>0</v>
      </c>
      <c r="AY160" s="640">
        <v>0</v>
      </c>
      <c r="AZ160" s="640">
        <v>0</v>
      </c>
      <c r="BA160" s="640">
        <v>0</v>
      </c>
      <c r="BB160" s="640">
        <v>0</v>
      </c>
      <c r="BC160" s="640">
        <v>0</v>
      </c>
      <c r="BD160" s="640">
        <v>0</v>
      </c>
      <c r="BE160" s="640">
        <v>0</v>
      </c>
      <c r="BF160" s="640">
        <v>0</v>
      </c>
      <c r="BG160" s="640">
        <v>0</v>
      </c>
      <c r="BH160" s="640">
        <v>0</v>
      </c>
      <c r="BI160" s="640">
        <v>0</v>
      </c>
      <c r="BJ160" s="640">
        <v>0</v>
      </c>
      <c r="BK160" s="640">
        <v>0</v>
      </c>
      <c r="BL160" s="640">
        <v>0</v>
      </c>
      <c r="BM160" s="640">
        <v>0</v>
      </c>
      <c r="BN160" s="640">
        <v>0</v>
      </c>
      <c r="BO160" s="640">
        <v>0</v>
      </c>
      <c r="BP160" s="640"/>
      <c r="BQ160" s="640">
        <v>0</v>
      </c>
      <c r="BR160" s="640">
        <v>0</v>
      </c>
      <c r="BS160" s="640">
        <v>0</v>
      </c>
      <c r="BT160" s="640">
        <v>0</v>
      </c>
      <c r="BU160" s="640">
        <v>0</v>
      </c>
      <c r="BV160" s="669">
        <f>SUM(AK160:BU160)-BU160</f>
        <v>0</v>
      </c>
      <c r="BW160" s="670">
        <f>SUM(AI160-AH160)</f>
        <v>0</v>
      </c>
      <c r="BX160" s="644">
        <v>0</v>
      </c>
    </row>
    <row r="161" spans="29:76" ht="24" hidden="1" customHeight="1">
      <c r="AC161" s="675" t="s">
        <v>1028</v>
      </c>
      <c r="AD161" s="659" t="s">
        <v>1029</v>
      </c>
      <c r="AE161" s="102"/>
      <c r="AF161" s="102"/>
      <c r="AG161" s="105"/>
      <c r="AH161" s="676">
        <v>62773</v>
      </c>
      <c r="AI161" s="640">
        <f>SUM(AK161:BU161)</f>
        <v>54413.77</v>
      </c>
      <c r="AJ161" s="640">
        <v>0</v>
      </c>
      <c r="AK161" s="580">
        <v>1076.93</v>
      </c>
      <c r="AL161" s="580">
        <v>5123.95</v>
      </c>
      <c r="AM161" s="580">
        <v>3361.17</v>
      </c>
      <c r="AN161" s="580">
        <v>1197.67</v>
      </c>
      <c r="AO161" s="580">
        <v>928.28</v>
      </c>
      <c r="AP161" s="580">
        <v>344.15</v>
      </c>
      <c r="AQ161" s="580">
        <v>24.96</v>
      </c>
      <c r="AR161" s="580">
        <v>90.48</v>
      </c>
      <c r="AS161" s="640">
        <v>319.3</v>
      </c>
      <c r="AT161" s="580">
        <v>951.72</v>
      </c>
      <c r="AU161" s="580">
        <v>0</v>
      </c>
      <c r="AV161" s="580">
        <v>0</v>
      </c>
      <c r="AW161" s="580">
        <v>59.59</v>
      </c>
      <c r="AX161" s="580">
        <v>51.29</v>
      </c>
      <c r="AY161" s="580">
        <v>67.64</v>
      </c>
      <c r="AZ161" s="580">
        <v>85.31</v>
      </c>
      <c r="BA161" s="580">
        <v>64.540000000000006</v>
      </c>
      <c r="BB161" s="580">
        <v>443.42</v>
      </c>
      <c r="BC161" s="580">
        <v>138.74</v>
      </c>
      <c r="BD161" s="580">
        <v>1812.62</v>
      </c>
      <c r="BE161" s="580">
        <v>223.35</v>
      </c>
      <c r="BF161" s="580">
        <v>185.77</v>
      </c>
      <c r="BG161" s="580">
        <v>211.24</v>
      </c>
      <c r="BH161" s="580">
        <v>429.37</v>
      </c>
      <c r="BI161" s="580">
        <v>447.71</v>
      </c>
      <c r="BJ161" s="580">
        <v>1776.75</v>
      </c>
      <c r="BK161" s="580">
        <v>6778.26</v>
      </c>
      <c r="BL161" s="580">
        <v>593.85</v>
      </c>
      <c r="BM161" s="580">
        <v>1838.82</v>
      </c>
      <c r="BN161" s="580">
        <v>517.79999999999995</v>
      </c>
      <c r="BO161" s="580">
        <v>756.49</v>
      </c>
      <c r="BP161" s="580"/>
      <c r="BQ161" s="580">
        <v>1301.03</v>
      </c>
      <c r="BR161" s="580">
        <v>2861.47</v>
      </c>
      <c r="BS161" s="580">
        <v>2189.48</v>
      </c>
      <c r="BT161" s="580">
        <f>1303.26+806.15</f>
        <v>2109.41</v>
      </c>
      <c r="BU161" s="640">
        <f>11116.59+540.68+2191.97+1218+983.97</f>
        <v>16051.21</v>
      </c>
      <c r="BV161" s="669">
        <f>SUM(AK161:BU161)-BU161</f>
        <v>38362.559999999998</v>
      </c>
      <c r="BW161" s="670">
        <f>SUM(AI161-AH161)</f>
        <v>-8359.2300000000032</v>
      </c>
      <c r="BX161" s="644">
        <f>100%-(AH161/AI161)</f>
        <v>-0.15362343024568981</v>
      </c>
    </row>
    <row r="162" spans="29:76" ht="30.75" hidden="1" customHeight="1">
      <c r="AC162" s="5">
        <v>52110</v>
      </c>
      <c r="AD162" s="902" t="s">
        <v>1030</v>
      </c>
      <c r="AE162" s="891"/>
      <c r="AF162" s="891"/>
      <c r="AG162" s="903"/>
      <c r="AH162" s="677">
        <v>5882</v>
      </c>
      <c r="AI162" s="640">
        <f t="shared" si="205"/>
        <v>6250.2000000000007</v>
      </c>
      <c r="AJ162" s="640">
        <v>0</v>
      </c>
      <c r="AK162" s="580">
        <v>150.84</v>
      </c>
      <c r="AL162" s="580">
        <v>717.67</v>
      </c>
      <c r="AM162" s="580">
        <v>470.77</v>
      </c>
      <c r="AN162" s="580">
        <v>167.75</v>
      </c>
      <c r="AO162" s="580">
        <v>130.02000000000001</v>
      </c>
      <c r="AP162" s="580">
        <v>48.2</v>
      </c>
      <c r="AQ162" s="580">
        <v>10.23</v>
      </c>
      <c r="AR162" s="580">
        <v>15.78</v>
      </c>
      <c r="AS162" s="640">
        <v>64.39</v>
      </c>
      <c r="AT162" s="580">
        <v>133.30000000000001</v>
      </c>
      <c r="AU162" s="580">
        <v>0</v>
      </c>
      <c r="AV162" s="580">
        <v>0</v>
      </c>
      <c r="AW162" s="580">
        <v>8.35</v>
      </c>
      <c r="AX162" s="580">
        <v>7.18</v>
      </c>
      <c r="AY162" s="580">
        <v>9.4700000000000006</v>
      </c>
      <c r="AZ162" s="580">
        <v>11.95</v>
      </c>
      <c r="BA162" s="580">
        <v>9.0399999999999991</v>
      </c>
      <c r="BB162" s="580">
        <v>62.11</v>
      </c>
      <c r="BC162" s="580">
        <v>19.43</v>
      </c>
      <c r="BD162" s="580">
        <v>253.88</v>
      </c>
      <c r="BE162" s="580">
        <v>31.28</v>
      </c>
      <c r="BF162" s="580">
        <v>26.02</v>
      </c>
      <c r="BG162" s="580">
        <v>29.59</v>
      </c>
      <c r="BH162" s="580">
        <v>60.14</v>
      </c>
      <c r="BI162" s="580">
        <v>62.71</v>
      </c>
      <c r="BJ162" s="580">
        <v>248.85</v>
      </c>
      <c r="BK162" s="580">
        <v>949.38</v>
      </c>
      <c r="BL162" s="580">
        <v>83.18</v>
      </c>
      <c r="BM162" s="580">
        <v>257.55</v>
      </c>
      <c r="BN162" s="580">
        <v>72.52</v>
      </c>
      <c r="BO162" s="580">
        <v>105.96</v>
      </c>
      <c r="BP162" s="580"/>
      <c r="BQ162" s="580">
        <v>182.22</v>
      </c>
      <c r="BR162" s="580">
        <v>400.78</v>
      </c>
      <c r="BS162" s="580">
        <v>306.66000000000003</v>
      </c>
      <c r="BT162" s="580">
        <f>182.54+112.91</f>
        <v>295.45</v>
      </c>
      <c r="BU162" s="580">
        <f>156.39+75.73+307.01+170.6+137.82</f>
        <v>847.55</v>
      </c>
      <c r="BV162" s="669">
        <f>SUM(AK162:BU162)-BU162</f>
        <v>5402.6500000000005</v>
      </c>
      <c r="BW162" s="670">
        <f>SUM(AI162-AH162)</f>
        <v>368.20000000000073</v>
      </c>
      <c r="BX162" s="644">
        <f t="shared" ref="BX162:BX164" si="206">100%-(AH162/AI162)</f>
        <v>5.8910114876324027E-2</v>
      </c>
    </row>
    <row r="163" spans="29:76" ht="12.75" hidden="1" customHeight="1">
      <c r="AC163" s="5">
        <v>50510</v>
      </c>
      <c r="AD163" s="902" t="s">
        <v>1031</v>
      </c>
      <c r="AE163" s="891"/>
      <c r="AF163" s="891"/>
      <c r="AG163" s="903"/>
      <c r="AH163" s="677">
        <v>423996</v>
      </c>
      <c r="AI163" s="580">
        <f t="shared" si="205"/>
        <v>444029.35000000015</v>
      </c>
      <c r="AJ163" s="640">
        <v>0</v>
      </c>
      <c r="AK163" s="580">
        <v>10692.86</v>
      </c>
      <c r="AL163" s="580">
        <v>70134.990000000005</v>
      </c>
      <c r="AM163" s="580">
        <v>34352.339999999997</v>
      </c>
      <c r="AN163" s="580">
        <v>12137.57</v>
      </c>
      <c r="AO163" s="580">
        <v>9515.59</v>
      </c>
      <c r="AP163" s="580">
        <v>3284.05</v>
      </c>
      <c r="AQ163" s="580">
        <v>476.17</v>
      </c>
      <c r="AR163" s="580">
        <v>431.42</v>
      </c>
      <c r="AS163" s="640">
        <v>9.02</v>
      </c>
      <c r="AT163" s="580">
        <v>10450.19</v>
      </c>
      <c r="AU163" s="580">
        <v>0</v>
      </c>
      <c r="AV163" s="580">
        <v>0</v>
      </c>
      <c r="AW163" s="580">
        <v>866.66</v>
      </c>
      <c r="AX163" s="580">
        <v>622.39</v>
      </c>
      <c r="AY163" s="580">
        <v>625.73</v>
      </c>
      <c r="AZ163" s="580">
        <v>1247.5</v>
      </c>
      <c r="BA163" s="580">
        <v>1057.51</v>
      </c>
      <c r="BB163" s="580">
        <v>4817.8100000000004</v>
      </c>
      <c r="BC163" s="580">
        <v>1627.32</v>
      </c>
      <c r="BD163" s="580">
        <v>18350.240000000002</v>
      </c>
      <c r="BE163" s="580">
        <v>2233.58</v>
      </c>
      <c r="BF163" s="580">
        <v>1885.75</v>
      </c>
      <c r="BG163" s="580">
        <v>1880.63</v>
      </c>
      <c r="BH163" s="580">
        <v>3982.4</v>
      </c>
      <c r="BI163" s="580">
        <v>4838.51</v>
      </c>
      <c r="BJ163" s="580">
        <v>18231.080000000002</v>
      </c>
      <c r="BK163" s="580">
        <v>68651.62</v>
      </c>
      <c r="BL163" s="580">
        <v>5995.02</v>
      </c>
      <c r="BM163" s="580">
        <v>18675.28</v>
      </c>
      <c r="BN163" s="580">
        <v>5141.78</v>
      </c>
      <c r="BO163" s="580">
        <v>7634.78</v>
      </c>
      <c r="BP163" s="580"/>
      <c r="BQ163" s="580">
        <v>6591.15</v>
      </c>
      <c r="BR163" s="580">
        <v>11059.18</v>
      </c>
      <c r="BS163" s="580">
        <v>22627.72</v>
      </c>
      <c r="BT163" s="580">
        <f>13034.92+8195.5</f>
        <v>21230.42</v>
      </c>
      <c r="BU163" s="580">
        <f>11269.08+5456.77+23722.19+12292.49+9930.56</f>
        <v>62671.089999999989</v>
      </c>
      <c r="BV163" s="669">
        <f>SUM(AK163:BU163)-BU163</f>
        <v>381358.26000000018</v>
      </c>
      <c r="BW163" s="670">
        <f>SUM(AI163-AH163)</f>
        <v>20033.350000000151</v>
      </c>
      <c r="BX163" s="644">
        <f t="shared" si="206"/>
        <v>4.5117175249789532E-2</v>
      </c>
    </row>
    <row r="164" spans="29:76" ht="13.5" hidden="1" thickBot="1">
      <c r="AD164" s="904" t="s">
        <v>1032</v>
      </c>
      <c r="AE164" s="905"/>
      <c r="AF164" s="905"/>
      <c r="AG164" s="906"/>
      <c r="AH164" s="678">
        <f>SUM(AH160:AH163)</f>
        <v>492651</v>
      </c>
      <c r="AI164" s="678">
        <f t="shared" ref="AI164:BW164" si="207">SUM(AI160:AI163)</f>
        <v>504693.32000000018</v>
      </c>
      <c r="AJ164" s="678">
        <f t="shared" si="207"/>
        <v>0</v>
      </c>
      <c r="AK164" s="663">
        <f t="shared" si="207"/>
        <v>11920.630000000001</v>
      </c>
      <c r="AL164" s="663">
        <f t="shared" si="207"/>
        <v>75976.61</v>
      </c>
      <c r="AM164" s="663">
        <f t="shared" si="207"/>
        <v>38184.28</v>
      </c>
      <c r="AN164" s="663">
        <f t="shared" si="207"/>
        <v>13502.99</v>
      </c>
      <c r="AO164" s="663">
        <f t="shared" si="207"/>
        <v>10573.89</v>
      </c>
      <c r="AP164" s="663">
        <f t="shared" si="207"/>
        <v>3676.4</v>
      </c>
      <c r="AQ164" s="663">
        <f t="shared" si="207"/>
        <v>511.36</v>
      </c>
      <c r="AR164" s="663">
        <f t="shared" si="207"/>
        <v>537.68000000000006</v>
      </c>
      <c r="AS164" s="663">
        <f t="shared" si="207"/>
        <v>392.71</v>
      </c>
      <c r="AT164" s="663">
        <f t="shared" si="207"/>
        <v>11535.210000000001</v>
      </c>
      <c r="AU164" s="663">
        <f t="shared" si="207"/>
        <v>0</v>
      </c>
      <c r="AV164" s="663">
        <f t="shared" si="207"/>
        <v>0</v>
      </c>
      <c r="AW164" s="663">
        <f t="shared" si="207"/>
        <v>934.59999999999991</v>
      </c>
      <c r="AX164" s="663">
        <f t="shared" si="207"/>
        <v>680.86</v>
      </c>
      <c r="AY164" s="663">
        <f t="shared" si="207"/>
        <v>702.84</v>
      </c>
      <c r="AZ164" s="663">
        <f t="shared" si="207"/>
        <v>1344.76</v>
      </c>
      <c r="BA164" s="663">
        <f t="shared" si="207"/>
        <v>1131.0899999999999</v>
      </c>
      <c r="BB164" s="663">
        <f t="shared" si="207"/>
        <v>5323.34</v>
      </c>
      <c r="BC164" s="663">
        <f t="shared" si="207"/>
        <v>1785.49</v>
      </c>
      <c r="BD164" s="663">
        <f t="shared" si="207"/>
        <v>20416.740000000002</v>
      </c>
      <c r="BE164" s="663">
        <f t="shared" si="207"/>
        <v>2488.21</v>
      </c>
      <c r="BF164" s="663">
        <f t="shared" si="207"/>
        <v>2097.54</v>
      </c>
      <c r="BG164" s="663">
        <f t="shared" si="207"/>
        <v>2121.46</v>
      </c>
      <c r="BH164" s="663">
        <f t="shared" si="207"/>
        <v>4471.91</v>
      </c>
      <c r="BI164" s="663">
        <f t="shared" si="207"/>
        <v>5348.93</v>
      </c>
      <c r="BJ164" s="663">
        <f t="shared" si="207"/>
        <v>20256.68</v>
      </c>
      <c r="BK164" s="663">
        <f t="shared" si="207"/>
        <v>76379.259999999995</v>
      </c>
      <c r="BL164" s="663">
        <f t="shared" si="207"/>
        <v>6672.05</v>
      </c>
      <c r="BM164" s="663">
        <f t="shared" si="207"/>
        <v>20771.649999999998</v>
      </c>
      <c r="BN164" s="663">
        <f t="shared" si="207"/>
        <v>5732.0999999999995</v>
      </c>
      <c r="BO164" s="663">
        <f t="shared" si="207"/>
        <v>8497.23</v>
      </c>
      <c r="BP164" s="663">
        <f t="shared" si="207"/>
        <v>0</v>
      </c>
      <c r="BQ164" s="663">
        <f t="shared" si="207"/>
        <v>8074.4</v>
      </c>
      <c r="BR164" s="663">
        <f t="shared" si="207"/>
        <v>14321.43</v>
      </c>
      <c r="BS164" s="663">
        <f t="shared" si="207"/>
        <v>25123.86</v>
      </c>
      <c r="BT164" s="663">
        <f t="shared" si="207"/>
        <v>23635.279999999999</v>
      </c>
      <c r="BU164" s="663">
        <f t="shared" si="207"/>
        <v>79569.849999999991</v>
      </c>
      <c r="BV164" s="663">
        <f t="shared" si="207"/>
        <v>425123.4700000002</v>
      </c>
      <c r="BW164" s="664">
        <f t="shared" si="207"/>
        <v>12042.320000000149</v>
      </c>
      <c r="BX164" s="679">
        <f t="shared" si="206"/>
        <v>2.3860668494681492E-2</v>
      </c>
    </row>
    <row r="165" spans="29:76" hidden="1"/>
    <row r="166" spans="29:76" ht="25.5" hidden="1" customHeight="1">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6"/>
      <c r="BF166" s="6"/>
      <c r="BG166" s="6"/>
      <c r="BH166" s="6"/>
      <c r="BI166" s="22"/>
      <c r="BJ166" s="22"/>
      <c r="BK166" s="22"/>
      <c r="BL166" s="6"/>
      <c r="BM166" s="6"/>
      <c r="BN166" s="22"/>
      <c r="BO166" s="22"/>
      <c r="BP166" s="22"/>
      <c r="BQ166" s="22"/>
      <c r="BR166" s="22"/>
      <c r="BS166" s="22"/>
    </row>
    <row r="167" spans="29:76" ht="15" hidden="1" thickBot="1">
      <c r="AD167" s="901" t="s">
        <v>1033</v>
      </c>
      <c r="AE167" s="901"/>
      <c r="AF167" s="901"/>
      <c r="AG167" s="901"/>
    </row>
    <row r="168" spans="29:76" ht="25.5" hidden="1">
      <c r="AD168" s="648"/>
      <c r="AE168" s="649"/>
      <c r="AF168" s="649"/>
      <c r="AG168" s="649"/>
      <c r="AH168" s="650" t="s">
        <v>616</v>
      </c>
      <c r="AI168" s="650" t="s">
        <v>616</v>
      </c>
      <c r="AJ168" s="651" t="s">
        <v>692</v>
      </c>
      <c r="AK168" s="650" t="s">
        <v>31</v>
      </c>
      <c r="AL168" s="650" t="s">
        <v>693</v>
      </c>
      <c r="AM168" s="650" t="s">
        <v>31</v>
      </c>
      <c r="AN168" s="651" t="s">
        <v>690</v>
      </c>
      <c r="AO168" s="651" t="s">
        <v>690</v>
      </c>
      <c r="AP168" s="651" t="s">
        <v>690</v>
      </c>
      <c r="AQ168" s="651" t="s">
        <v>690</v>
      </c>
      <c r="AR168" s="651" t="s">
        <v>690</v>
      </c>
      <c r="AS168" s="651" t="s">
        <v>690</v>
      </c>
      <c r="AT168" s="651" t="s">
        <v>690</v>
      </c>
      <c r="AU168" s="651" t="s">
        <v>690</v>
      </c>
      <c r="AV168" s="651" t="s">
        <v>690</v>
      </c>
      <c r="AW168" s="650" t="s">
        <v>31</v>
      </c>
      <c r="AX168" s="651" t="s">
        <v>690</v>
      </c>
      <c r="AY168" s="651" t="s">
        <v>690</v>
      </c>
      <c r="AZ168" s="651" t="s">
        <v>690</v>
      </c>
      <c r="BA168" s="651" t="s">
        <v>690</v>
      </c>
      <c r="BB168" s="651" t="s">
        <v>690</v>
      </c>
      <c r="BC168" s="650" t="s">
        <v>31</v>
      </c>
      <c r="BD168" s="650" t="s">
        <v>31</v>
      </c>
      <c r="BE168" s="650" t="s">
        <v>379</v>
      </c>
      <c r="BF168" s="651" t="s">
        <v>379</v>
      </c>
      <c r="BG168" s="651" t="s">
        <v>379</v>
      </c>
      <c r="BH168" s="651" t="s">
        <v>694</v>
      </c>
      <c r="BI168" s="652" t="s">
        <v>302</v>
      </c>
      <c r="BJ168" s="653" t="s">
        <v>302</v>
      </c>
      <c r="BK168" s="652" t="s">
        <v>302</v>
      </c>
      <c r="BL168" s="650" t="s">
        <v>126</v>
      </c>
      <c r="BM168" s="651" t="s">
        <v>126</v>
      </c>
      <c r="BN168" s="652" t="s">
        <v>350</v>
      </c>
      <c r="BO168" s="650" t="s">
        <v>78</v>
      </c>
      <c r="BP168" s="652" t="s">
        <v>78</v>
      </c>
      <c r="BQ168" s="654" t="s">
        <v>695</v>
      </c>
      <c r="BR168" s="650" t="s">
        <v>696</v>
      </c>
      <c r="BS168" s="650" t="s">
        <v>71</v>
      </c>
      <c r="BT168" s="652" t="s">
        <v>697</v>
      </c>
      <c r="BU168" s="650" t="s">
        <v>674</v>
      </c>
      <c r="BV168" s="650" t="s">
        <v>1003</v>
      </c>
      <c r="BW168" s="655" t="s">
        <v>616</v>
      </c>
      <c r="BX168" s="656" t="s">
        <v>698</v>
      </c>
    </row>
    <row r="169" spans="29:76" ht="12.75" hidden="1" customHeight="1">
      <c r="AD169" s="657"/>
      <c r="AE169" s="9"/>
      <c r="AF169" s="9"/>
      <c r="AG169" s="9"/>
      <c r="AH169" s="96" t="s">
        <v>707</v>
      </c>
      <c r="AI169" s="96" t="s">
        <v>707</v>
      </c>
      <c r="AJ169" s="169" t="s">
        <v>708</v>
      </c>
      <c r="AK169" s="96" t="s">
        <v>36</v>
      </c>
      <c r="AL169" s="96" t="s">
        <v>30</v>
      </c>
      <c r="AM169" s="96" t="s">
        <v>36</v>
      </c>
      <c r="AN169" s="169" t="s">
        <v>36</v>
      </c>
      <c r="AO169" s="169" t="s">
        <v>36</v>
      </c>
      <c r="AP169" s="169" t="s">
        <v>709</v>
      </c>
      <c r="AQ169" s="169" t="s">
        <v>36</v>
      </c>
      <c r="AR169" s="169" t="s">
        <v>36</v>
      </c>
      <c r="AS169" s="169" t="s">
        <v>709</v>
      </c>
      <c r="AT169" s="169" t="s">
        <v>36</v>
      </c>
      <c r="AU169" s="169" t="s">
        <v>36</v>
      </c>
      <c r="AV169" s="169" t="s">
        <v>36</v>
      </c>
      <c r="AW169" s="96" t="s">
        <v>40</v>
      </c>
      <c r="AX169" s="169" t="s">
        <v>40</v>
      </c>
      <c r="AY169" s="169" t="s">
        <v>40</v>
      </c>
      <c r="AZ169" s="169" t="s">
        <v>40</v>
      </c>
      <c r="BA169" s="169" t="s">
        <v>40</v>
      </c>
      <c r="BB169" s="169" t="s">
        <v>40</v>
      </c>
      <c r="BC169" s="96" t="s">
        <v>43</v>
      </c>
      <c r="BD169" s="96" t="s">
        <v>41</v>
      </c>
      <c r="BE169" s="96" t="s">
        <v>35</v>
      </c>
      <c r="BF169" s="169" t="s">
        <v>158</v>
      </c>
      <c r="BG169" s="169" t="s">
        <v>753</v>
      </c>
      <c r="BH169" s="169" t="s">
        <v>738</v>
      </c>
      <c r="BI169" s="96" t="s">
        <v>35</v>
      </c>
      <c r="BJ169" s="169" t="s">
        <v>738</v>
      </c>
      <c r="BK169" s="96" t="s">
        <v>739</v>
      </c>
      <c r="BL169" s="96" t="s">
        <v>35</v>
      </c>
      <c r="BM169" s="169" t="s">
        <v>739</v>
      </c>
      <c r="BN169" s="96" t="s">
        <v>35</v>
      </c>
      <c r="BO169" s="96" t="s">
        <v>35</v>
      </c>
      <c r="BP169" s="96" t="s">
        <v>740</v>
      </c>
      <c r="BQ169" s="97" t="s">
        <v>710</v>
      </c>
      <c r="BR169" s="96" t="s">
        <v>711</v>
      </c>
      <c r="BS169" s="96"/>
      <c r="BT169" s="96" t="s">
        <v>712</v>
      </c>
      <c r="BU169" s="96" t="s">
        <v>713</v>
      </c>
      <c r="BV169" s="96" t="s">
        <v>1004</v>
      </c>
      <c r="BW169" s="266" t="s">
        <v>707</v>
      </c>
      <c r="BX169" s="443" t="s">
        <v>707</v>
      </c>
    </row>
    <row r="170" spans="29:76" ht="12.75" hidden="1" customHeight="1">
      <c r="AD170" s="658"/>
      <c r="AE170" s="101"/>
      <c r="AF170" s="101"/>
      <c r="AG170" s="104"/>
      <c r="AH170" s="98" t="s">
        <v>734</v>
      </c>
      <c r="AI170" s="99" t="s">
        <v>735</v>
      </c>
      <c r="AJ170" s="172" t="s">
        <v>736</v>
      </c>
      <c r="AK170" s="98" t="s">
        <v>737</v>
      </c>
      <c r="AL170" s="98" t="s">
        <v>35</v>
      </c>
      <c r="AM170" s="98" t="s">
        <v>738</v>
      </c>
      <c r="AN170" s="171" t="s">
        <v>158</v>
      </c>
      <c r="AO170" s="171" t="s">
        <v>739</v>
      </c>
      <c r="AP170" s="172" t="s">
        <v>740</v>
      </c>
      <c r="AQ170" s="172" t="s">
        <v>741</v>
      </c>
      <c r="AR170" s="172" t="s">
        <v>742</v>
      </c>
      <c r="AS170" s="172" t="s">
        <v>743</v>
      </c>
      <c r="AT170" s="171" t="s">
        <v>744</v>
      </c>
      <c r="AU170" s="99" t="s">
        <v>1018</v>
      </c>
      <c r="AV170" s="99" t="s">
        <v>746</v>
      </c>
      <c r="AW170" s="99" t="str">
        <f>AW134</f>
        <v xml:space="preserve">DIABETES SELF MANAGEMENT </v>
      </c>
      <c r="AX170" s="172" t="s">
        <v>748</v>
      </c>
      <c r="AY170" s="172" t="s">
        <v>749</v>
      </c>
      <c r="AZ170" s="172" t="s">
        <v>750</v>
      </c>
      <c r="BA170" s="172" t="s">
        <v>751</v>
      </c>
      <c r="BB170" s="172" t="s">
        <v>752</v>
      </c>
      <c r="BC170" s="98"/>
      <c r="BD170" s="98"/>
      <c r="BE170" s="98"/>
      <c r="BF170" s="98"/>
      <c r="BG170" s="98"/>
      <c r="BH170" s="98"/>
      <c r="BI170" s="99"/>
      <c r="BJ170" s="99"/>
      <c r="BK170" s="99"/>
      <c r="BL170" s="98"/>
      <c r="BM170" s="98"/>
      <c r="BN170" s="99"/>
      <c r="BO170" s="99"/>
      <c r="BP170" s="99"/>
      <c r="BQ170" s="100" t="s">
        <v>754</v>
      </c>
      <c r="BR170" s="98"/>
      <c r="BS170" s="98"/>
      <c r="BT170" s="172" t="s">
        <v>755</v>
      </c>
      <c r="BU170" s="98" t="s">
        <v>756</v>
      </c>
      <c r="BV170" s="98" t="s">
        <v>620</v>
      </c>
      <c r="BW170" s="268" t="s">
        <v>758</v>
      </c>
      <c r="BX170" s="444" t="s">
        <v>758</v>
      </c>
    </row>
    <row r="171" spans="29:76" ht="14.25" hidden="1" customHeight="1">
      <c r="AC171" s="675">
        <v>50630</v>
      </c>
      <c r="AD171" s="907" t="s">
        <v>1034</v>
      </c>
      <c r="AE171" s="908"/>
      <c r="AF171" s="908"/>
      <c r="AG171" s="909"/>
      <c r="AH171" s="640">
        <v>44888</v>
      </c>
      <c r="AI171" s="640">
        <f t="shared" ref="AI171:AI175" si="208">SUM(AK171:BU171)</f>
        <v>42902.28</v>
      </c>
      <c r="AJ171" s="640">
        <v>0</v>
      </c>
      <c r="AK171" s="640">
        <v>1046.28</v>
      </c>
      <c r="AL171" s="640">
        <v>4978.1400000000003</v>
      </c>
      <c r="AM171" s="640">
        <v>3265.52</v>
      </c>
      <c r="AN171" s="640">
        <v>1163.5899999999999</v>
      </c>
      <c r="AO171" s="640">
        <v>901.86</v>
      </c>
      <c r="AP171" s="640">
        <v>334.36</v>
      </c>
      <c r="AQ171" s="640">
        <v>24.25</v>
      </c>
      <c r="AR171" s="640">
        <v>87.91</v>
      </c>
      <c r="AS171" s="640">
        <v>62.56</v>
      </c>
      <c r="AT171" s="640">
        <v>924.64</v>
      </c>
      <c r="AU171" s="640">
        <v>0</v>
      </c>
      <c r="AV171" s="640">
        <v>0</v>
      </c>
      <c r="AW171" s="640">
        <v>57.89</v>
      </c>
      <c r="AX171" s="640">
        <v>49.83</v>
      </c>
      <c r="AY171" s="640">
        <v>65.72</v>
      </c>
      <c r="AZ171" s="640">
        <v>82.88</v>
      </c>
      <c r="BA171" s="640">
        <v>62.7</v>
      </c>
      <c r="BB171" s="640">
        <v>430.8</v>
      </c>
      <c r="BC171" s="640">
        <v>134.79</v>
      </c>
      <c r="BD171" s="640">
        <v>1761.04</v>
      </c>
      <c r="BE171" s="640">
        <v>216.99</v>
      </c>
      <c r="BF171" s="640">
        <v>180.48</v>
      </c>
      <c r="BG171" s="640">
        <v>205.22</v>
      </c>
      <c r="BH171" s="640">
        <v>417.15</v>
      </c>
      <c r="BI171" s="640">
        <v>434.97</v>
      </c>
      <c r="BJ171" s="640">
        <v>1726.19</v>
      </c>
      <c r="BK171" s="640">
        <v>6585.38</v>
      </c>
      <c r="BL171" s="640">
        <v>576.96</v>
      </c>
      <c r="BM171" s="640">
        <v>1786.49</v>
      </c>
      <c r="BN171" s="640">
        <v>503.07</v>
      </c>
      <c r="BO171" s="640">
        <v>734.96</v>
      </c>
      <c r="BP171" s="580"/>
      <c r="BQ171" s="640">
        <v>1264.01</v>
      </c>
      <c r="BR171" s="640">
        <v>2780.05</v>
      </c>
      <c r="BS171" s="640">
        <v>2127.1799999999998</v>
      </c>
      <c r="BT171" s="640">
        <f>1266.18+783.21</f>
        <v>2049.3900000000003</v>
      </c>
      <c r="BU171" s="640">
        <f>2129.6+1183.34+1084.82+525.3+955.97</f>
        <v>5879.03</v>
      </c>
      <c r="BV171" s="680">
        <f>SUM(AK171:BU171)-BU171</f>
        <v>37023.25</v>
      </c>
      <c r="BW171" s="681">
        <f>SUM(AI171-AH171)</f>
        <v>-1985.7200000000012</v>
      </c>
      <c r="BX171" s="682">
        <f>100%-(AH171/AI171)</f>
        <v>-4.6284719599984037E-2</v>
      </c>
    </row>
    <row r="172" spans="29:76" ht="12.75" hidden="1" customHeight="1">
      <c r="AC172" s="675" t="s">
        <v>1035</v>
      </c>
      <c r="AD172" s="667" t="s">
        <v>1036</v>
      </c>
      <c r="AE172" s="668"/>
      <c r="AF172" s="668"/>
      <c r="AG172" s="106"/>
      <c r="AH172" s="640">
        <v>12124</v>
      </c>
      <c r="AI172" s="640">
        <f>SUM(AK172:BU172)</f>
        <v>11397.810000000001</v>
      </c>
      <c r="AJ172" s="640">
        <v>0</v>
      </c>
      <c r="AK172" s="640">
        <v>256.45</v>
      </c>
      <c r="AL172" s="640">
        <v>1220.19</v>
      </c>
      <c r="AM172" s="640">
        <v>800.41</v>
      </c>
      <c r="AN172" s="640">
        <v>285.20999999999998</v>
      </c>
      <c r="AO172" s="640">
        <v>221.06</v>
      </c>
      <c r="AP172" s="640">
        <v>81.95</v>
      </c>
      <c r="AQ172" s="640">
        <v>5.94</v>
      </c>
      <c r="AR172" s="640">
        <v>21.55</v>
      </c>
      <c r="AS172" s="640">
        <v>15.33</v>
      </c>
      <c r="AT172" s="640">
        <v>226.64</v>
      </c>
      <c r="AU172" s="640">
        <v>0</v>
      </c>
      <c r="AV172" s="640">
        <v>0</v>
      </c>
      <c r="AW172" s="640">
        <v>16.21</v>
      </c>
      <c r="AX172" s="640">
        <v>12.21</v>
      </c>
      <c r="AY172" s="640">
        <v>16.11</v>
      </c>
      <c r="AZ172" s="640">
        <v>20.309999999999999</v>
      </c>
      <c r="BA172" s="640">
        <v>15.37</v>
      </c>
      <c r="BB172" s="640">
        <v>105.59</v>
      </c>
      <c r="BC172" s="640">
        <v>33.04</v>
      </c>
      <c r="BD172" s="640">
        <v>431.65</v>
      </c>
      <c r="BE172" s="640">
        <v>53.19</v>
      </c>
      <c r="BF172" s="640">
        <v>44.24</v>
      </c>
      <c r="BG172" s="640">
        <v>50.3</v>
      </c>
      <c r="BH172" s="640">
        <v>102.25</v>
      </c>
      <c r="BI172" s="640">
        <v>106.61</v>
      </c>
      <c r="BJ172" s="640">
        <v>423.1</v>
      </c>
      <c r="BK172" s="640">
        <v>1614.14</v>
      </c>
      <c r="BL172" s="640">
        <v>141.41999999999999</v>
      </c>
      <c r="BM172" s="640">
        <v>437.89</v>
      </c>
      <c r="BN172" s="640">
        <v>123.31</v>
      </c>
      <c r="BO172" s="640">
        <v>180.18</v>
      </c>
      <c r="BP172" s="580"/>
      <c r="BQ172" s="640">
        <v>309.82</v>
      </c>
      <c r="BR172" s="640">
        <v>681.42</v>
      </c>
      <c r="BS172" s="640">
        <v>521.39</v>
      </c>
      <c r="BT172" s="640">
        <f>310.35+191.97</f>
        <v>502.32000000000005</v>
      </c>
      <c r="BU172" s="640">
        <f>521.98+290.05+665.9+608.76+234.32</f>
        <v>2321.0099999999998</v>
      </c>
      <c r="BV172" s="680">
        <f>SUM(AK172:BU172)-BU172</f>
        <v>9076.8000000000011</v>
      </c>
      <c r="BW172" s="681">
        <f>SUM(AI172-AH172)</f>
        <v>-726.18999999999869</v>
      </c>
      <c r="BX172" s="682">
        <f t="shared" ref="BX172:BX176" si="209">100%-(AH172/AI172)</f>
        <v>-6.371311681805536E-2</v>
      </c>
    </row>
    <row r="173" spans="29:76" ht="12.75" hidden="1" customHeight="1">
      <c r="AC173" s="675">
        <v>50620</v>
      </c>
      <c r="AD173" s="667" t="s">
        <v>1037</v>
      </c>
      <c r="AE173" s="668"/>
      <c r="AF173" s="668"/>
      <c r="AG173" s="106"/>
      <c r="AH173" s="640">
        <v>818</v>
      </c>
      <c r="AI173" s="640">
        <f t="shared" si="208"/>
        <v>1539.38</v>
      </c>
      <c r="AJ173" s="640">
        <v>0</v>
      </c>
      <c r="AK173" s="640">
        <v>0</v>
      </c>
      <c r="AL173" s="640">
        <v>0</v>
      </c>
      <c r="AM173" s="640">
        <v>0</v>
      </c>
      <c r="AN173" s="640">
        <v>0</v>
      </c>
      <c r="AO173" s="640">
        <v>0</v>
      </c>
      <c r="AP173" s="640">
        <v>0</v>
      </c>
      <c r="AQ173" s="640">
        <v>0</v>
      </c>
      <c r="AR173" s="640">
        <v>0</v>
      </c>
      <c r="AS173" s="640">
        <v>0</v>
      </c>
      <c r="AT173" s="640">
        <v>0</v>
      </c>
      <c r="AU173" s="640">
        <v>0</v>
      </c>
      <c r="AV173" s="640">
        <v>0</v>
      </c>
      <c r="AW173" s="640">
        <v>0</v>
      </c>
      <c r="AX173" s="640">
        <v>0</v>
      </c>
      <c r="AY173" s="640">
        <v>0</v>
      </c>
      <c r="AZ173" s="640">
        <v>0</v>
      </c>
      <c r="BA173" s="640">
        <v>0</v>
      </c>
      <c r="BB173" s="640">
        <v>0</v>
      </c>
      <c r="BC173" s="640">
        <v>0</v>
      </c>
      <c r="BD173" s="640">
        <v>0</v>
      </c>
      <c r="BE173" s="640">
        <v>0</v>
      </c>
      <c r="BF173" s="640">
        <v>0</v>
      </c>
      <c r="BG173" s="640">
        <v>0</v>
      </c>
      <c r="BH173" s="640">
        <v>0</v>
      </c>
      <c r="BI173" s="640">
        <v>0</v>
      </c>
      <c r="BJ173" s="640">
        <v>0</v>
      </c>
      <c r="BK173" s="640">
        <v>0</v>
      </c>
      <c r="BL173" s="640">
        <v>0</v>
      </c>
      <c r="BM173" s="640">
        <v>0</v>
      </c>
      <c r="BN173" s="640">
        <v>0</v>
      </c>
      <c r="BO173" s="640">
        <v>0</v>
      </c>
      <c r="BP173" s="580"/>
      <c r="BQ173" s="640">
        <v>0</v>
      </c>
      <c r="BR173" s="640">
        <v>0</v>
      </c>
      <c r="BS173" s="640">
        <v>1483</v>
      </c>
      <c r="BT173" s="640">
        <v>0</v>
      </c>
      <c r="BU173" s="640">
        <f>37.99+18.39</f>
        <v>56.38</v>
      </c>
      <c r="BV173" s="680">
        <f>SUM(AK173:BU173)-BU173</f>
        <v>1483</v>
      </c>
      <c r="BW173" s="681">
        <f>SUM(AI173-AH173)</f>
        <v>721.38000000000011</v>
      </c>
      <c r="BX173" s="682">
        <f t="shared" si="209"/>
        <v>0.46861723551040035</v>
      </c>
    </row>
    <row r="174" spans="29:76" ht="12.75" hidden="1" customHeight="1">
      <c r="AC174" s="675">
        <v>51610</v>
      </c>
      <c r="AD174" s="683" t="s">
        <v>1038</v>
      </c>
      <c r="AE174" s="684"/>
      <c r="AF174" s="684"/>
      <c r="AG174" s="107"/>
      <c r="AH174" s="580">
        <v>20017</v>
      </c>
      <c r="AI174" s="580">
        <f t="shared" si="208"/>
        <v>21432.090000000004</v>
      </c>
      <c r="AJ174" s="640">
        <v>0</v>
      </c>
      <c r="AK174" s="580">
        <v>522.67999999999995</v>
      </c>
      <c r="AL174" s="580">
        <v>2486.86</v>
      </c>
      <c r="AM174" s="580">
        <v>1631.31</v>
      </c>
      <c r="AN174" s="580">
        <v>581.28</v>
      </c>
      <c r="AO174" s="580">
        <v>450.53</v>
      </c>
      <c r="AP174" s="580">
        <v>167.03</v>
      </c>
      <c r="AQ174" s="580">
        <v>12.11</v>
      </c>
      <c r="AR174" s="580">
        <v>43.91</v>
      </c>
      <c r="AS174" s="640">
        <v>31.25</v>
      </c>
      <c r="AT174" s="580">
        <v>461.91</v>
      </c>
      <c r="AU174" s="580">
        <v>0</v>
      </c>
      <c r="AV174" s="580">
        <v>0</v>
      </c>
      <c r="AW174" s="580">
        <v>28.92</v>
      </c>
      <c r="AX174" s="580">
        <v>24.89</v>
      </c>
      <c r="AY174" s="580">
        <v>32.83</v>
      </c>
      <c r="AZ174" s="580">
        <v>41.4</v>
      </c>
      <c r="BA174" s="580">
        <v>31.32</v>
      </c>
      <c r="BB174" s="580">
        <v>215.21</v>
      </c>
      <c r="BC174" s="580">
        <v>67.33</v>
      </c>
      <c r="BD174" s="580">
        <v>879.74</v>
      </c>
      <c r="BE174" s="580">
        <v>108.4</v>
      </c>
      <c r="BF174" s="580">
        <v>90.16</v>
      </c>
      <c r="BG174" s="580">
        <v>102.52</v>
      </c>
      <c r="BH174" s="580">
        <v>208.39</v>
      </c>
      <c r="BI174" s="580">
        <v>217.29</v>
      </c>
      <c r="BJ174" s="580">
        <v>862.33</v>
      </c>
      <c r="BK174" s="580">
        <v>3289.77</v>
      </c>
      <c r="BL174" s="580">
        <v>288.22000000000003</v>
      </c>
      <c r="BM174" s="580">
        <v>892.46</v>
      </c>
      <c r="BN174" s="580">
        <v>251.31</v>
      </c>
      <c r="BO174" s="580">
        <v>367.16</v>
      </c>
      <c r="BP174" s="580"/>
      <c r="BQ174" s="580">
        <v>631.44000000000005</v>
      </c>
      <c r="BR174" s="580">
        <v>1388.79</v>
      </c>
      <c r="BS174" s="580">
        <v>1062.6500000000001</v>
      </c>
      <c r="BT174" s="580">
        <f>632.53+391.26</f>
        <v>1023.79</v>
      </c>
      <c r="BU174" s="580">
        <f>541.93+262.42+1063.85+591.14+477.56</f>
        <v>2936.8999999999996</v>
      </c>
      <c r="BV174" s="680">
        <f>SUM(AK174:BU174)-BU174</f>
        <v>18495.190000000002</v>
      </c>
      <c r="BW174" s="681">
        <f>SUM(AI174-AH174)</f>
        <v>1415.0900000000038</v>
      </c>
      <c r="BX174" s="682">
        <f t="shared" si="209"/>
        <v>6.6026691750548094E-2</v>
      </c>
    </row>
    <row r="175" spans="29:76" ht="12.75" hidden="1" customHeight="1">
      <c r="AC175" s="675">
        <v>50730</v>
      </c>
      <c r="AD175" s="683" t="s">
        <v>1039</v>
      </c>
      <c r="AE175" s="684"/>
      <c r="AF175" s="684"/>
      <c r="AG175" s="107"/>
      <c r="AH175" s="580">
        <v>398</v>
      </c>
      <c r="AI175" s="580">
        <f t="shared" si="208"/>
        <v>300</v>
      </c>
      <c r="AJ175" s="640">
        <v>0</v>
      </c>
      <c r="AK175" s="580">
        <v>300</v>
      </c>
      <c r="AL175" s="580">
        <v>0</v>
      </c>
      <c r="AM175" s="580">
        <v>0</v>
      </c>
      <c r="AN175" s="580">
        <v>0</v>
      </c>
      <c r="AO175" s="580">
        <v>0</v>
      </c>
      <c r="AP175" s="580">
        <v>0</v>
      </c>
      <c r="AQ175" s="580">
        <v>0</v>
      </c>
      <c r="AR175" s="580">
        <v>0</v>
      </c>
      <c r="AS175" s="580">
        <v>0</v>
      </c>
      <c r="AT175" s="580">
        <v>0</v>
      </c>
      <c r="AU175" s="580">
        <v>0</v>
      </c>
      <c r="AV175" s="580">
        <v>0</v>
      </c>
      <c r="AW175" s="580">
        <v>0</v>
      </c>
      <c r="AX175" s="580">
        <v>0</v>
      </c>
      <c r="AY175" s="580">
        <v>0</v>
      </c>
      <c r="AZ175" s="580">
        <v>0</v>
      </c>
      <c r="BA175" s="580">
        <v>0</v>
      </c>
      <c r="BB175" s="580">
        <v>0</v>
      </c>
      <c r="BC175" s="580">
        <v>0</v>
      </c>
      <c r="BD175" s="580">
        <v>0</v>
      </c>
      <c r="BE175" s="580">
        <v>0</v>
      </c>
      <c r="BF175" s="580">
        <v>0</v>
      </c>
      <c r="BG175" s="580">
        <v>0</v>
      </c>
      <c r="BH175" s="580">
        <v>0</v>
      </c>
      <c r="BI175" s="580">
        <v>0</v>
      </c>
      <c r="BJ175" s="580">
        <v>0</v>
      </c>
      <c r="BK175" s="580">
        <v>0</v>
      </c>
      <c r="BL175" s="580">
        <v>0</v>
      </c>
      <c r="BM175" s="580">
        <v>0</v>
      </c>
      <c r="BN175" s="580">
        <v>0</v>
      </c>
      <c r="BO175" s="580">
        <v>0</v>
      </c>
      <c r="BP175" s="580">
        <v>0</v>
      </c>
      <c r="BQ175" s="580">
        <v>0</v>
      </c>
      <c r="BR175" s="580">
        <v>0</v>
      </c>
      <c r="BS175" s="580">
        <v>0</v>
      </c>
      <c r="BT175" s="580">
        <v>0</v>
      </c>
      <c r="BU175" s="580">
        <v>0</v>
      </c>
      <c r="BV175" s="680">
        <f>SUM(AK175:BU175)-BU175</f>
        <v>300</v>
      </c>
      <c r="BW175" s="681">
        <f>SUM(AI175-AH175)</f>
        <v>-98</v>
      </c>
      <c r="BX175" s="682">
        <f t="shared" si="209"/>
        <v>-0.32666666666666666</v>
      </c>
    </row>
    <row r="176" spans="29:76" ht="13.5" hidden="1" thickBot="1">
      <c r="AD176" s="904" t="s">
        <v>1040</v>
      </c>
      <c r="AE176" s="905"/>
      <c r="AF176" s="905"/>
      <c r="AG176" s="906"/>
      <c r="AH176" s="663">
        <f>SUM(AH171:AH175)</f>
        <v>78245</v>
      </c>
      <c r="AI176" s="663">
        <f t="shared" ref="AI176:BV176" si="210">SUM(AI171:AI175)</f>
        <v>77571.56</v>
      </c>
      <c r="AJ176" s="663">
        <f t="shared" si="210"/>
        <v>0</v>
      </c>
      <c r="AK176" s="663">
        <f t="shared" si="210"/>
        <v>2125.41</v>
      </c>
      <c r="AL176" s="663">
        <f t="shared" si="210"/>
        <v>8685.19</v>
      </c>
      <c r="AM176" s="663">
        <f t="shared" si="210"/>
        <v>5697.24</v>
      </c>
      <c r="AN176" s="663">
        <f t="shared" si="210"/>
        <v>2030.08</v>
      </c>
      <c r="AO176" s="663">
        <f t="shared" si="210"/>
        <v>1573.45</v>
      </c>
      <c r="AP176" s="663">
        <f t="shared" si="210"/>
        <v>583.34</v>
      </c>
      <c r="AQ176" s="663">
        <f t="shared" si="210"/>
        <v>42.3</v>
      </c>
      <c r="AR176" s="663">
        <f t="shared" si="210"/>
        <v>153.37</v>
      </c>
      <c r="AS176" s="663">
        <f t="shared" si="210"/>
        <v>109.14</v>
      </c>
      <c r="AT176" s="663">
        <f t="shared" si="210"/>
        <v>1613.19</v>
      </c>
      <c r="AU176" s="663">
        <f t="shared" si="210"/>
        <v>0</v>
      </c>
      <c r="AV176" s="663">
        <f t="shared" si="210"/>
        <v>0</v>
      </c>
      <c r="AW176" s="663">
        <f t="shared" si="210"/>
        <v>103.02</v>
      </c>
      <c r="AX176" s="663">
        <f t="shared" si="210"/>
        <v>86.93</v>
      </c>
      <c r="AY176" s="663">
        <f t="shared" si="210"/>
        <v>114.66</v>
      </c>
      <c r="AZ176" s="663">
        <f t="shared" si="210"/>
        <v>144.59</v>
      </c>
      <c r="BA176" s="663">
        <f t="shared" si="210"/>
        <v>109.39000000000001</v>
      </c>
      <c r="BB176" s="663">
        <f t="shared" si="210"/>
        <v>751.6</v>
      </c>
      <c r="BC176" s="663">
        <f t="shared" si="210"/>
        <v>235.15999999999997</v>
      </c>
      <c r="BD176" s="663">
        <f t="shared" si="210"/>
        <v>3072.4300000000003</v>
      </c>
      <c r="BE176" s="663">
        <f t="shared" si="210"/>
        <v>378.58000000000004</v>
      </c>
      <c r="BF176" s="663">
        <f t="shared" si="210"/>
        <v>314.88</v>
      </c>
      <c r="BG176" s="663">
        <f t="shared" si="210"/>
        <v>358.03999999999996</v>
      </c>
      <c r="BH176" s="663">
        <f t="shared" si="210"/>
        <v>727.79</v>
      </c>
      <c r="BI176" s="663">
        <f t="shared" si="210"/>
        <v>758.87</v>
      </c>
      <c r="BJ176" s="663">
        <f t="shared" si="210"/>
        <v>3011.62</v>
      </c>
      <c r="BK176" s="663">
        <f t="shared" si="210"/>
        <v>11489.29</v>
      </c>
      <c r="BL176" s="663">
        <f t="shared" si="210"/>
        <v>1006.6</v>
      </c>
      <c r="BM176" s="663">
        <f t="shared" si="210"/>
        <v>3116.84</v>
      </c>
      <c r="BN176" s="663">
        <f t="shared" si="210"/>
        <v>877.69</v>
      </c>
      <c r="BO176" s="663">
        <f t="shared" si="210"/>
        <v>1282.3000000000002</v>
      </c>
      <c r="BP176" s="663">
        <f t="shared" si="210"/>
        <v>0</v>
      </c>
      <c r="BQ176" s="663">
        <f t="shared" si="210"/>
        <v>2205.27</v>
      </c>
      <c r="BR176" s="663">
        <f t="shared" si="210"/>
        <v>4850.26</v>
      </c>
      <c r="BS176" s="663">
        <f t="shared" si="210"/>
        <v>5194.2199999999993</v>
      </c>
      <c r="BT176" s="663">
        <f>SUM(BT171:BT175)</f>
        <v>3575.5000000000005</v>
      </c>
      <c r="BU176" s="663">
        <f t="shared" si="210"/>
        <v>11193.319999999998</v>
      </c>
      <c r="BV176" s="685">
        <f t="shared" si="210"/>
        <v>66378.240000000005</v>
      </c>
      <c r="BW176" s="686">
        <f>SUM(BW171:BW175)</f>
        <v>-673.43999999999596</v>
      </c>
      <c r="BX176" s="687">
        <f t="shared" si="209"/>
        <v>-8.6815322522841853E-3</v>
      </c>
    </row>
    <row r="177" spans="29:76" hidden="1">
      <c r="AD177" s="119"/>
      <c r="AE177" s="119"/>
      <c r="AF177" s="119"/>
      <c r="AG177" s="119"/>
      <c r="AH177" s="270"/>
      <c r="AI177" s="270"/>
      <c r="AJ177" s="270"/>
      <c r="AK177" s="270"/>
      <c r="AL177" s="270"/>
      <c r="AM177" s="270"/>
      <c r="AN177" s="270"/>
      <c r="AO177" s="270"/>
      <c r="AP177" s="270"/>
      <c r="AQ177" s="270"/>
      <c r="AR177" s="270"/>
      <c r="AS177" s="270"/>
      <c r="AT177" s="270"/>
      <c r="AU177" s="270"/>
      <c r="AV177" s="270"/>
      <c r="AW177" s="270"/>
      <c r="AX177" s="270"/>
      <c r="AY177" s="270"/>
      <c r="AZ177" s="270"/>
      <c r="BA177" s="270"/>
      <c r="BB177" s="270"/>
      <c r="BC177" s="270"/>
      <c r="BD177" s="270"/>
      <c r="BE177" s="270"/>
      <c r="BF177" s="270"/>
      <c r="BG177" s="270"/>
      <c r="BH177" s="270"/>
      <c r="BI177" s="270"/>
      <c r="BJ177" s="270"/>
      <c r="BK177" s="270"/>
      <c r="BL177" s="270"/>
      <c r="BM177" s="270"/>
      <c r="BN177" s="270"/>
      <c r="BO177" s="270"/>
      <c r="BP177" s="270"/>
      <c r="BQ177" s="270"/>
      <c r="BR177" s="270"/>
      <c r="BS177" s="270"/>
      <c r="BT177" s="270"/>
      <c r="BU177" s="270"/>
      <c r="BV177" s="270"/>
      <c r="BW177" s="270"/>
    </row>
    <row r="178" spans="29:76" ht="12.75" hidden="1" customHeight="1"/>
    <row r="179" spans="29:76" ht="15" hidden="1" thickBot="1">
      <c r="AD179" s="901" t="s">
        <v>1041</v>
      </c>
      <c r="AE179" s="901"/>
      <c r="AF179" s="901"/>
      <c r="AG179" s="901"/>
    </row>
    <row r="180" spans="29:76" ht="25.5" hidden="1">
      <c r="AD180" s="648"/>
      <c r="AE180" s="649"/>
      <c r="AF180" s="649"/>
      <c r="AG180" s="649"/>
      <c r="AH180" s="650" t="s">
        <v>616</v>
      </c>
      <c r="AI180" s="650" t="s">
        <v>616</v>
      </c>
      <c r="AJ180" s="651" t="s">
        <v>692</v>
      </c>
      <c r="AK180" s="650" t="s">
        <v>31</v>
      </c>
      <c r="AL180" s="650" t="s">
        <v>693</v>
      </c>
      <c r="AM180" s="650" t="s">
        <v>31</v>
      </c>
      <c r="AN180" s="651" t="s">
        <v>690</v>
      </c>
      <c r="AO180" s="651" t="s">
        <v>690</v>
      </c>
      <c r="AP180" s="651" t="s">
        <v>690</v>
      </c>
      <c r="AQ180" s="651" t="s">
        <v>690</v>
      </c>
      <c r="AR180" s="651" t="s">
        <v>690</v>
      </c>
      <c r="AS180" s="651" t="s">
        <v>690</v>
      </c>
      <c r="AT180" s="651" t="s">
        <v>690</v>
      </c>
      <c r="AU180" s="651" t="s">
        <v>690</v>
      </c>
      <c r="AV180" s="651" t="s">
        <v>690</v>
      </c>
      <c r="AW180" s="650" t="s">
        <v>31</v>
      </c>
      <c r="AX180" s="651" t="s">
        <v>690</v>
      </c>
      <c r="AY180" s="651" t="s">
        <v>690</v>
      </c>
      <c r="AZ180" s="651" t="s">
        <v>690</v>
      </c>
      <c r="BA180" s="651" t="s">
        <v>690</v>
      </c>
      <c r="BB180" s="651" t="s">
        <v>690</v>
      </c>
      <c r="BC180" s="650" t="s">
        <v>31</v>
      </c>
      <c r="BD180" s="650" t="s">
        <v>31</v>
      </c>
      <c r="BE180" s="650" t="s">
        <v>379</v>
      </c>
      <c r="BF180" s="651" t="s">
        <v>379</v>
      </c>
      <c r="BG180" s="651" t="s">
        <v>379</v>
      </c>
      <c r="BH180" s="651" t="s">
        <v>694</v>
      </c>
      <c r="BI180" s="652" t="s">
        <v>302</v>
      </c>
      <c r="BJ180" s="653" t="s">
        <v>302</v>
      </c>
      <c r="BK180" s="652" t="s">
        <v>302</v>
      </c>
      <c r="BL180" s="650" t="s">
        <v>126</v>
      </c>
      <c r="BM180" s="651" t="s">
        <v>126</v>
      </c>
      <c r="BN180" s="652" t="s">
        <v>350</v>
      </c>
      <c r="BO180" s="650" t="s">
        <v>78</v>
      </c>
      <c r="BP180" s="652" t="s">
        <v>78</v>
      </c>
      <c r="BQ180" s="654" t="s">
        <v>695</v>
      </c>
      <c r="BR180" s="650" t="s">
        <v>696</v>
      </c>
      <c r="BS180" s="650" t="s">
        <v>71</v>
      </c>
      <c r="BT180" s="652" t="s">
        <v>697</v>
      </c>
      <c r="BU180" s="650" t="s">
        <v>674</v>
      </c>
      <c r="BV180" s="650" t="s">
        <v>1003</v>
      </c>
      <c r="BW180" s="655" t="s">
        <v>616</v>
      </c>
      <c r="BX180" s="656" t="s">
        <v>698</v>
      </c>
    </row>
    <row r="181" spans="29:76" ht="24" hidden="1" customHeight="1">
      <c r="AD181" s="657"/>
      <c r="AE181" s="9"/>
      <c r="AF181" s="9"/>
      <c r="AG181" s="9"/>
      <c r="AH181" s="96" t="s">
        <v>707</v>
      </c>
      <c r="AI181" s="96" t="s">
        <v>707</v>
      </c>
      <c r="AJ181" s="169" t="s">
        <v>708</v>
      </c>
      <c r="AK181" s="96" t="s">
        <v>36</v>
      </c>
      <c r="AL181" s="96" t="s">
        <v>30</v>
      </c>
      <c r="AM181" s="96" t="s">
        <v>36</v>
      </c>
      <c r="AN181" s="169" t="s">
        <v>36</v>
      </c>
      <c r="AO181" s="169" t="s">
        <v>36</v>
      </c>
      <c r="AP181" s="169" t="s">
        <v>709</v>
      </c>
      <c r="AQ181" s="169" t="s">
        <v>36</v>
      </c>
      <c r="AR181" s="169" t="s">
        <v>36</v>
      </c>
      <c r="AS181" s="169" t="s">
        <v>709</v>
      </c>
      <c r="AT181" s="169" t="s">
        <v>36</v>
      </c>
      <c r="AU181" s="169" t="s">
        <v>36</v>
      </c>
      <c r="AV181" s="169" t="s">
        <v>36</v>
      </c>
      <c r="AW181" s="96" t="s">
        <v>40</v>
      </c>
      <c r="AX181" s="169" t="s">
        <v>40</v>
      </c>
      <c r="AY181" s="169" t="s">
        <v>40</v>
      </c>
      <c r="AZ181" s="169" t="s">
        <v>40</v>
      </c>
      <c r="BA181" s="169" t="s">
        <v>40</v>
      </c>
      <c r="BB181" s="169" t="s">
        <v>40</v>
      </c>
      <c r="BC181" s="96" t="s">
        <v>43</v>
      </c>
      <c r="BD181" s="96" t="s">
        <v>41</v>
      </c>
      <c r="BE181" s="96" t="s">
        <v>35</v>
      </c>
      <c r="BF181" s="169" t="s">
        <v>158</v>
      </c>
      <c r="BG181" s="169" t="s">
        <v>753</v>
      </c>
      <c r="BH181" s="169" t="s">
        <v>738</v>
      </c>
      <c r="BI181" s="96" t="s">
        <v>35</v>
      </c>
      <c r="BJ181" s="169" t="s">
        <v>738</v>
      </c>
      <c r="BK181" s="96" t="s">
        <v>739</v>
      </c>
      <c r="BL181" s="96" t="s">
        <v>35</v>
      </c>
      <c r="BM181" s="169" t="s">
        <v>739</v>
      </c>
      <c r="BN181" s="96" t="s">
        <v>35</v>
      </c>
      <c r="BO181" s="96" t="s">
        <v>35</v>
      </c>
      <c r="BP181" s="96" t="s">
        <v>740</v>
      </c>
      <c r="BQ181" s="97" t="s">
        <v>710</v>
      </c>
      <c r="BR181" s="96" t="s">
        <v>711</v>
      </c>
      <c r="BS181" s="96"/>
      <c r="BT181" s="96" t="s">
        <v>712</v>
      </c>
      <c r="BU181" s="96" t="s">
        <v>713</v>
      </c>
      <c r="BV181" s="96" t="s">
        <v>1004</v>
      </c>
      <c r="BW181" s="266" t="s">
        <v>707</v>
      </c>
      <c r="BX181" s="443" t="s">
        <v>707</v>
      </c>
    </row>
    <row r="182" spans="29:76" ht="24" hidden="1" customHeight="1">
      <c r="AD182" s="658"/>
      <c r="AE182" s="101"/>
      <c r="AF182" s="101"/>
      <c r="AG182" s="104"/>
      <c r="AH182" s="98" t="s">
        <v>734</v>
      </c>
      <c r="AI182" s="99" t="s">
        <v>735</v>
      </c>
      <c r="AJ182" s="172" t="s">
        <v>736</v>
      </c>
      <c r="AK182" s="98" t="s">
        <v>737</v>
      </c>
      <c r="AL182" s="98" t="s">
        <v>35</v>
      </c>
      <c r="AM182" s="98" t="s">
        <v>738</v>
      </c>
      <c r="AN182" s="171" t="s">
        <v>158</v>
      </c>
      <c r="AO182" s="171" t="s">
        <v>739</v>
      </c>
      <c r="AP182" s="172" t="s">
        <v>740</v>
      </c>
      <c r="AQ182" s="172" t="s">
        <v>741</v>
      </c>
      <c r="AR182" s="172" t="s">
        <v>742</v>
      </c>
      <c r="AS182" s="172" t="s">
        <v>743</v>
      </c>
      <c r="AT182" s="171" t="s">
        <v>744</v>
      </c>
      <c r="AU182" s="99" t="s">
        <v>1018</v>
      </c>
      <c r="AV182" s="99" t="s">
        <v>746</v>
      </c>
      <c r="AW182" s="99" t="str">
        <f>AW134</f>
        <v xml:space="preserve">DIABETES SELF MANAGEMENT </v>
      </c>
      <c r="AX182" s="172" t="s">
        <v>748</v>
      </c>
      <c r="AY182" s="172" t="s">
        <v>749</v>
      </c>
      <c r="AZ182" s="172" t="s">
        <v>750</v>
      </c>
      <c r="BA182" s="172" t="s">
        <v>751</v>
      </c>
      <c r="BB182" s="172" t="s">
        <v>752</v>
      </c>
      <c r="BC182" s="98"/>
      <c r="BD182" s="98"/>
      <c r="BE182" s="98"/>
      <c r="BF182" s="98"/>
      <c r="BG182" s="98"/>
      <c r="BH182" s="98"/>
      <c r="BI182" s="99"/>
      <c r="BJ182" s="99"/>
      <c r="BK182" s="99"/>
      <c r="BL182" s="98"/>
      <c r="BM182" s="98"/>
      <c r="BN182" s="99"/>
      <c r="BO182" s="99"/>
      <c r="BP182" s="99"/>
      <c r="BQ182" s="100" t="s">
        <v>754</v>
      </c>
      <c r="BR182" s="98"/>
      <c r="BS182" s="98"/>
      <c r="BT182" s="172" t="s">
        <v>755</v>
      </c>
      <c r="BU182" s="98" t="s">
        <v>756</v>
      </c>
      <c r="BV182" s="98" t="s">
        <v>620</v>
      </c>
      <c r="BW182" s="268" t="s">
        <v>758</v>
      </c>
      <c r="BX182" s="444" t="s">
        <v>758</v>
      </c>
    </row>
    <row r="183" spans="29:76" ht="24" hidden="1" customHeight="1">
      <c r="AC183" s="5">
        <v>51100</v>
      </c>
      <c r="AD183" s="902" t="s">
        <v>1042</v>
      </c>
      <c r="AE183" s="891"/>
      <c r="AF183" s="891"/>
      <c r="AG183" s="892"/>
      <c r="AH183" s="640">
        <v>22930</v>
      </c>
      <c r="AI183" s="580">
        <f t="shared" ref="AI183:AI184" si="211">SUM(AK183:BU183)</f>
        <v>20213.589999999993</v>
      </c>
      <c r="AJ183" s="640">
        <v>0</v>
      </c>
      <c r="AK183" s="640">
        <v>259.77999999999997</v>
      </c>
      <c r="AL183" s="640">
        <v>9500</v>
      </c>
      <c r="AM183" s="640">
        <v>14.36</v>
      </c>
      <c r="AN183" s="640">
        <v>301.20999999999998</v>
      </c>
      <c r="AO183" s="640">
        <v>147.06</v>
      </c>
      <c r="AP183" s="640">
        <v>178.86</v>
      </c>
      <c r="AQ183" s="640">
        <v>7.06</v>
      </c>
      <c r="AR183" s="640">
        <v>3.8</v>
      </c>
      <c r="AS183" s="640">
        <v>4.46</v>
      </c>
      <c r="AT183" s="640">
        <v>6.26</v>
      </c>
      <c r="AU183" s="640">
        <v>0</v>
      </c>
      <c r="AV183" s="640">
        <v>0</v>
      </c>
      <c r="AW183" s="640">
        <v>21.56</v>
      </c>
      <c r="AX183" s="640">
        <v>19.14</v>
      </c>
      <c r="AY183" s="640">
        <v>16.14</v>
      </c>
      <c r="AZ183" s="640">
        <v>62.78</v>
      </c>
      <c r="BA183" s="640">
        <v>30.8</v>
      </c>
      <c r="BB183" s="640">
        <v>179.14</v>
      </c>
      <c r="BC183" s="640">
        <v>19.920000000000002</v>
      </c>
      <c r="BD183" s="640">
        <v>402.82</v>
      </c>
      <c r="BE183" s="640">
        <v>13.48</v>
      </c>
      <c r="BF183" s="640">
        <v>289.92</v>
      </c>
      <c r="BG183" s="640">
        <v>139.97999999999999</v>
      </c>
      <c r="BH183" s="640">
        <v>95.86</v>
      </c>
      <c r="BI183" s="640">
        <v>0</v>
      </c>
      <c r="BJ183" s="640">
        <v>324.92</v>
      </c>
      <c r="BK183" s="640">
        <v>1000</v>
      </c>
      <c r="BL183" s="640">
        <v>142.30000000000001</v>
      </c>
      <c r="BM183" s="640">
        <v>322.32</v>
      </c>
      <c r="BN183" s="640">
        <v>0</v>
      </c>
      <c r="BO183" s="640">
        <v>75.36</v>
      </c>
      <c r="BP183" s="640"/>
      <c r="BQ183" s="640">
        <v>539.34</v>
      </c>
      <c r="BR183" s="640">
        <v>982.88</v>
      </c>
      <c r="BS183" s="640">
        <v>1257.06</v>
      </c>
      <c r="BT183" s="580">
        <f>216.92+104.3</f>
        <v>321.21999999999997</v>
      </c>
      <c r="BU183" s="580">
        <f>309+250+779.54+145.26+250+1800</f>
        <v>3533.8</v>
      </c>
      <c r="BV183" s="669">
        <f>SUM(AK183:BU183)-BU183</f>
        <v>16679.789999999994</v>
      </c>
      <c r="BW183" s="670">
        <f>SUM(AI183-AH183)</f>
        <v>-2716.4100000000071</v>
      </c>
      <c r="BX183" s="644">
        <f>100%-(AH183/AI183)</f>
        <v>-0.13438533184852419</v>
      </c>
    </row>
    <row r="184" spans="29:76" s="6" customFormat="1" ht="15.75" hidden="1">
      <c r="AC184" s="675" t="s">
        <v>1043</v>
      </c>
      <c r="AD184" s="902" t="s">
        <v>1044</v>
      </c>
      <c r="AE184" s="891"/>
      <c r="AF184" s="891"/>
      <c r="AG184" s="892"/>
      <c r="AH184" s="580">
        <v>25092</v>
      </c>
      <c r="AI184" s="580">
        <f t="shared" si="211"/>
        <v>23729.619999999995</v>
      </c>
      <c r="AJ184" s="580">
        <v>0</v>
      </c>
      <c r="AK184" s="580">
        <v>92.81</v>
      </c>
      <c r="AL184" s="580">
        <v>1941.59</v>
      </c>
      <c r="AM184" s="580">
        <v>1089.67</v>
      </c>
      <c r="AN184" s="580">
        <v>603.22</v>
      </c>
      <c r="AO184" s="580">
        <v>80</v>
      </c>
      <c r="AP184" s="580">
        <f>1000+29.66</f>
        <v>1029.6600000000001</v>
      </c>
      <c r="AQ184" s="580">
        <v>41.94</v>
      </c>
      <c r="AR184" s="580">
        <v>7.8</v>
      </c>
      <c r="AS184" s="640">
        <v>5.55</v>
      </c>
      <c r="AT184" s="580">
        <v>82.02</v>
      </c>
      <c r="AU184" s="580">
        <v>0</v>
      </c>
      <c r="AV184" s="580">
        <v>0</v>
      </c>
      <c r="AW184" s="580">
        <v>200</v>
      </c>
      <c r="AX184" s="580">
        <v>865.49</v>
      </c>
      <c r="AY184" s="580">
        <v>100</v>
      </c>
      <c r="AZ184" s="580">
        <v>2507.35</v>
      </c>
      <c r="BA184" s="580">
        <v>1505.56</v>
      </c>
      <c r="BB184" s="580">
        <v>38.21</v>
      </c>
      <c r="BC184" s="580">
        <v>11.96</v>
      </c>
      <c r="BD184" s="580">
        <v>156.22</v>
      </c>
      <c r="BE184" s="580">
        <v>19.25</v>
      </c>
      <c r="BF184" s="580">
        <v>16.010000000000002</v>
      </c>
      <c r="BG184" s="580">
        <v>18.2</v>
      </c>
      <c r="BH184" s="580">
        <v>37</v>
      </c>
      <c r="BI184" s="580">
        <v>38.58</v>
      </c>
      <c r="BJ184" s="580">
        <v>153.12</v>
      </c>
      <c r="BK184" s="580">
        <v>884.16</v>
      </c>
      <c r="BL184" s="580">
        <v>51.18</v>
      </c>
      <c r="BM184" s="580">
        <v>458.47</v>
      </c>
      <c r="BN184" s="580">
        <v>44.63</v>
      </c>
      <c r="BO184" s="580">
        <v>365.2</v>
      </c>
      <c r="BP184" s="580"/>
      <c r="BQ184" s="580">
        <v>112.13</v>
      </c>
      <c r="BR184" s="580">
        <v>246.61</v>
      </c>
      <c r="BS184" s="580">
        <v>7222.72</v>
      </c>
      <c r="BT184" s="580">
        <f>112.32+69.48</f>
        <v>181.8</v>
      </c>
      <c r="BU184" s="580">
        <f>1096.23+46.6+188.91+104.97+2084.8</f>
        <v>3521.51</v>
      </c>
      <c r="BV184" s="669">
        <f>SUM(AK184:BU184)-BU184</f>
        <v>20208.109999999993</v>
      </c>
      <c r="BW184" s="643">
        <f>SUM(AI184-AH184)</f>
        <v>-1362.3800000000047</v>
      </c>
      <c r="BX184" s="644">
        <f t="shared" ref="BX184:BX185" si="212">100%-(AH184/AI184)</f>
        <v>-5.7412634504893312E-2</v>
      </c>
    </row>
    <row r="185" spans="29:76" ht="13.5" hidden="1" thickBot="1">
      <c r="AD185" s="904" t="s">
        <v>1045</v>
      </c>
      <c r="AE185" s="905"/>
      <c r="AF185" s="905"/>
      <c r="AG185" s="906"/>
      <c r="AH185" s="663">
        <f>SUM(AH183:AH184)</f>
        <v>48022</v>
      </c>
      <c r="AI185" s="663">
        <f t="shared" ref="AI185:BW185" si="213">SUM(AI183:AI184)</f>
        <v>43943.209999999992</v>
      </c>
      <c r="AJ185" s="663">
        <f t="shared" si="213"/>
        <v>0</v>
      </c>
      <c r="AK185" s="663">
        <f t="shared" si="213"/>
        <v>352.59</v>
      </c>
      <c r="AL185" s="663">
        <f t="shared" si="213"/>
        <v>11441.59</v>
      </c>
      <c r="AM185" s="663">
        <f t="shared" si="213"/>
        <v>1104.03</v>
      </c>
      <c r="AN185" s="663">
        <f t="shared" si="213"/>
        <v>904.43000000000006</v>
      </c>
      <c r="AO185" s="663">
        <f t="shared" si="213"/>
        <v>227.06</v>
      </c>
      <c r="AP185" s="663">
        <f t="shared" si="213"/>
        <v>1208.52</v>
      </c>
      <c r="AQ185" s="663">
        <f t="shared" si="213"/>
        <v>49</v>
      </c>
      <c r="AR185" s="663">
        <f t="shared" si="213"/>
        <v>11.6</v>
      </c>
      <c r="AS185" s="663">
        <f t="shared" si="213"/>
        <v>10.01</v>
      </c>
      <c r="AT185" s="663">
        <f t="shared" si="213"/>
        <v>88.28</v>
      </c>
      <c r="AU185" s="663">
        <f t="shared" si="213"/>
        <v>0</v>
      </c>
      <c r="AV185" s="663">
        <f t="shared" si="213"/>
        <v>0</v>
      </c>
      <c r="AW185" s="663">
        <f t="shared" si="213"/>
        <v>221.56</v>
      </c>
      <c r="AX185" s="663">
        <f t="shared" si="213"/>
        <v>884.63</v>
      </c>
      <c r="AY185" s="663">
        <f t="shared" si="213"/>
        <v>116.14</v>
      </c>
      <c r="AZ185" s="663">
        <f t="shared" si="213"/>
        <v>2570.13</v>
      </c>
      <c r="BA185" s="663">
        <f t="shared" si="213"/>
        <v>1536.36</v>
      </c>
      <c r="BB185" s="663">
        <f t="shared" si="213"/>
        <v>217.35</v>
      </c>
      <c r="BC185" s="663">
        <f t="shared" si="213"/>
        <v>31.880000000000003</v>
      </c>
      <c r="BD185" s="663">
        <f t="shared" si="213"/>
        <v>559.04</v>
      </c>
      <c r="BE185" s="663">
        <f t="shared" si="213"/>
        <v>32.730000000000004</v>
      </c>
      <c r="BF185" s="663">
        <f t="shared" si="213"/>
        <v>305.93</v>
      </c>
      <c r="BG185" s="663">
        <f t="shared" si="213"/>
        <v>158.17999999999998</v>
      </c>
      <c r="BH185" s="663">
        <f t="shared" si="213"/>
        <v>132.86000000000001</v>
      </c>
      <c r="BI185" s="663">
        <f t="shared" si="213"/>
        <v>38.58</v>
      </c>
      <c r="BJ185" s="663">
        <f t="shared" si="213"/>
        <v>478.04</v>
      </c>
      <c r="BK185" s="663">
        <f t="shared" si="213"/>
        <v>1884.1599999999999</v>
      </c>
      <c r="BL185" s="663">
        <f t="shared" si="213"/>
        <v>193.48000000000002</v>
      </c>
      <c r="BM185" s="663">
        <f t="shared" si="213"/>
        <v>780.79</v>
      </c>
      <c r="BN185" s="663">
        <f t="shared" si="213"/>
        <v>44.63</v>
      </c>
      <c r="BO185" s="663">
        <f t="shared" si="213"/>
        <v>440.56</v>
      </c>
      <c r="BP185" s="663">
        <f t="shared" si="213"/>
        <v>0</v>
      </c>
      <c r="BQ185" s="663">
        <f t="shared" si="213"/>
        <v>651.47</v>
      </c>
      <c r="BR185" s="663">
        <f t="shared" si="213"/>
        <v>1229.49</v>
      </c>
      <c r="BS185" s="663">
        <f t="shared" si="213"/>
        <v>8479.7800000000007</v>
      </c>
      <c r="BT185" s="663">
        <f t="shared" si="213"/>
        <v>503.02</v>
      </c>
      <c r="BU185" s="663">
        <f t="shared" si="213"/>
        <v>7055.31</v>
      </c>
      <c r="BV185" s="663">
        <f t="shared" si="213"/>
        <v>36887.899999999987</v>
      </c>
      <c r="BW185" s="664">
        <f t="shared" si="213"/>
        <v>-4078.7900000000118</v>
      </c>
      <c r="BX185" s="679">
        <f t="shared" si="212"/>
        <v>-9.2819573262854727E-2</v>
      </c>
    </row>
    <row r="186" spans="29:76" ht="33" hidden="1" customHeight="1">
      <c r="AD186" s="900" t="s">
        <v>1046</v>
      </c>
      <c r="AE186" s="900"/>
      <c r="AF186" s="900"/>
      <c r="AG186" s="900"/>
      <c r="AH186" s="900"/>
      <c r="AI186" s="900"/>
      <c r="AJ186" s="900"/>
      <c r="AK186" s="900"/>
      <c r="AL186" s="900"/>
      <c r="AM186" s="900"/>
      <c r="AN186" s="900"/>
      <c r="AO186" s="900"/>
      <c r="AP186" s="900"/>
      <c r="AQ186" s="900"/>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row>
    <row r="187" spans="29:76" hidden="1"/>
    <row r="188" spans="29:76" ht="15.75" hidden="1">
      <c r="AD188" s="22"/>
      <c r="AE188" s="22"/>
      <c r="AF188" s="22"/>
      <c r="AG188" s="22"/>
      <c r="AL188" s="94"/>
      <c r="AN188" s="94"/>
      <c r="AO188" s="94"/>
      <c r="AP188" s="94"/>
      <c r="AQ188" s="94"/>
      <c r="AR188" s="94"/>
      <c r="AS188" s="94"/>
      <c r="AT188" s="94"/>
      <c r="AU188" s="94"/>
      <c r="AV188" s="94"/>
      <c r="BD188" s="94"/>
      <c r="BI188" s="94"/>
      <c r="BJ188" s="94"/>
      <c r="BK188" s="94"/>
      <c r="BN188" s="94"/>
      <c r="BO188" s="94"/>
      <c r="BP188" s="94"/>
      <c r="BQ188" s="94"/>
    </row>
    <row r="189" spans="29:76" ht="42.75" hidden="1">
      <c r="AD189" s="271" t="s">
        <v>1047</v>
      </c>
      <c r="AE189" s="271"/>
      <c r="AF189" s="271"/>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347"/>
      <c r="BF189" s="347"/>
      <c r="BG189" s="347"/>
      <c r="BH189" s="347"/>
      <c r="BI189" s="95"/>
      <c r="BJ189" s="95"/>
      <c r="BK189" s="95"/>
      <c r="BL189" s="347"/>
      <c r="BM189" s="347"/>
      <c r="BN189" s="95"/>
      <c r="BO189" s="95"/>
      <c r="BP189" s="95"/>
      <c r="BQ189" s="95"/>
      <c r="BR189" s="95"/>
      <c r="BS189" s="95"/>
      <c r="BT189" s="95"/>
      <c r="BU189" s="95"/>
    </row>
    <row r="190" spans="29:76" ht="25.5" hidden="1">
      <c r="AD190" s="648"/>
      <c r="AE190" s="649"/>
      <c r="AF190" s="649"/>
      <c r="AG190" s="649"/>
      <c r="AH190" s="650" t="s">
        <v>616</v>
      </c>
      <c r="AI190" s="650" t="s">
        <v>616</v>
      </c>
      <c r="AJ190" s="651" t="s">
        <v>692</v>
      </c>
      <c r="AK190" s="650" t="s">
        <v>31</v>
      </c>
      <c r="AL190" s="650" t="s">
        <v>693</v>
      </c>
      <c r="AM190" s="650" t="s">
        <v>31</v>
      </c>
      <c r="AN190" s="651" t="s">
        <v>690</v>
      </c>
      <c r="AO190" s="651" t="s">
        <v>690</v>
      </c>
      <c r="AP190" s="651" t="s">
        <v>690</v>
      </c>
      <c r="AQ190" s="651" t="s">
        <v>690</v>
      </c>
      <c r="AR190" s="651" t="s">
        <v>690</v>
      </c>
      <c r="AS190" s="651" t="s">
        <v>690</v>
      </c>
      <c r="AT190" s="651" t="s">
        <v>690</v>
      </c>
      <c r="AU190" s="651" t="s">
        <v>690</v>
      </c>
      <c r="AV190" s="651" t="s">
        <v>690</v>
      </c>
      <c r="AW190" s="650" t="s">
        <v>31</v>
      </c>
      <c r="AX190" s="651" t="s">
        <v>690</v>
      </c>
      <c r="AY190" s="651" t="s">
        <v>690</v>
      </c>
      <c r="AZ190" s="651" t="s">
        <v>690</v>
      </c>
      <c r="BA190" s="651" t="s">
        <v>690</v>
      </c>
      <c r="BB190" s="651" t="s">
        <v>690</v>
      </c>
      <c r="BC190" s="650" t="s">
        <v>31</v>
      </c>
      <c r="BD190" s="650" t="s">
        <v>31</v>
      </c>
      <c r="BE190" s="650" t="s">
        <v>379</v>
      </c>
      <c r="BF190" s="651" t="s">
        <v>379</v>
      </c>
      <c r="BG190" s="651" t="s">
        <v>379</v>
      </c>
      <c r="BH190" s="651" t="s">
        <v>694</v>
      </c>
      <c r="BI190" s="652" t="s">
        <v>302</v>
      </c>
      <c r="BJ190" s="653" t="s">
        <v>302</v>
      </c>
      <c r="BK190" s="652" t="s">
        <v>302</v>
      </c>
      <c r="BL190" s="650" t="s">
        <v>126</v>
      </c>
      <c r="BM190" s="651" t="s">
        <v>126</v>
      </c>
      <c r="BN190" s="652" t="s">
        <v>350</v>
      </c>
      <c r="BO190" s="650" t="s">
        <v>78</v>
      </c>
      <c r="BP190" s="652" t="s">
        <v>78</v>
      </c>
      <c r="BQ190" s="654" t="s">
        <v>695</v>
      </c>
      <c r="BR190" s="650" t="s">
        <v>696</v>
      </c>
      <c r="BS190" s="650" t="s">
        <v>71</v>
      </c>
      <c r="BT190" s="652" t="s">
        <v>697</v>
      </c>
      <c r="BU190" s="650" t="s">
        <v>674</v>
      </c>
      <c r="BV190" s="650" t="s">
        <v>1003</v>
      </c>
      <c r="BW190" s="655" t="s">
        <v>616</v>
      </c>
      <c r="BX190" s="656" t="s">
        <v>698</v>
      </c>
    </row>
    <row r="191" spans="29:76" ht="30" hidden="1" customHeight="1">
      <c r="AD191" s="666"/>
      <c r="AH191" s="96" t="s">
        <v>707</v>
      </c>
      <c r="AI191" s="96" t="s">
        <v>707</v>
      </c>
      <c r="AJ191" s="169" t="s">
        <v>708</v>
      </c>
      <c r="AK191" s="96" t="s">
        <v>36</v>
      </c>
      <c r="AL191" s="96" t="s">
        <v>30</v>
      </c>
      <c r="AM191" s="96" t="s">
        <v>36</v>
      </c>
      <c r="AN191" s="169" t="s">
        <v>36</v>
      </c>
      <c r="AO191" s="169" t="s">
        <v>36</v>
      </c>
      <c r="AP191" s="169" t="s">
        <v>709</v>
      </c>
      <c r="AQ191" s="169" t="s">
        <v>36</v>
      </c>
      <c r="AR191" s="169" t="s">
        <v>36</v>
      </c>
      <c r="AS191" s="169" t="s">
        <v>709</v>
      </c>
      <c r="AT191" s="169" t="s">
        <v>36</v>
      </c>
      <c r="AU191" s="169" t="s">
        <v>36</v>
      </c>
      <c r="AV191" s="169" t="s">
        <v>36</v>
      </c>
      <c r="AW191" s="96" t="s">
        <v>40</v>
      </c>
      <c r="AX191" s="169" t="s">
        <v>40</v>
      </c>
      <c r="AY191" s="169" t="s">
        <v>40</v>
      </c>
      <c r="AZ191" s="169" t="s">
        <v>40</v>
      </c>
      <c r="BA191" s="169" t="s">
        <v>40</v>
      </c>
      <c r="BB191" s="169" t="s">
        <v>40</v>
      </c>
      <c r="BC191" s="96" t="s">
        <v>43</v>
      </c>
      <c r="BD191" s="96" t="s">
        <v>41</v>
      </c>
      <c r="BE191" s="96" t="s">
        <v>35</v>
      </c>
      <c r="BF191" s="169" t="s">
        <v>158</v>
      </c>
      <c r="BG191" s="169" t="s">
        <v>753</v>
      </c>
      <c r="BH191" s="169" t="s">
        <v>738</v>
      </c>
      <c r="BI191" s="96" t="s">
        <v>35</v>
      </c>
      <c r="BJ191" s="169" t="s">
        <v>738</v>
      </c>
      <c r="BK191" s="96" t="s">
        <v>739</v>
      </c>
      <c r="BL191" s="96" t="s">
        <v>35</v>
      </c>
      <c r="BM191" s="169" t="s">
        <v>739</v>
      </c>
      <c r="BN191" s="96" t="s">
        <v>35</v>
      </c>
      <c r="BO191" s="96" t="s">
        <v>35</v>
      </c>
      <c r="BP191" s="96" t="s">
        <v>740</v>
      </c>
      <c r="BQ191" s="97" t="s">
        <v>710</v>
      </c>
      <c r="BR191" s="96" t="s">
        <v>711</v>
      </c>
      <c r="BS191" s="96"/>
      <c r="BT191" s="96" t="s">
        <v>712</v>
      </c>
      <c r="BU191" s="96" t="s">
        <v>713</v>
      </c>
      <c r="BV191" s="96" t="s">
        <v>1004</v>
      </c>
      <c r="BW191" s="266" t="s">
        <v>707</v>
      </c>
      <c r="BX191" s="443" t="s">
        <v>707</v>
      </c>
    </row>
    <row r="192" spans="29:76" ht="23.25" hidden="1" customHeight="1">
      <c r="AD192" s="667"/>
      <c r="AE192" s="668"/>
      <c r="AF192" s="668"/>
      <c r="AG192" s="106"/>
      <c r="AH192" s="98" t="s">
        <v>734</v>
      </c>
      <c r="AI192" s="99" t="s">
        <v>735</v>
      </c>
      <c r="AJ192" s="172" t="s">
        <v>736</v>
      </c>
      <c r="AK192" s="98" t="s">
        <v>737</v>
      </c>
      <c r="AL192" s="98" t="s">
        <v>35</v>
      </c>
      <c r="AM192" s="98" t="s">
        <v>738</v>
      </c>
      <c r="AN192" s="171" t="s">
        <v>158</v>
      </c>
      <c r="AO192" s="171" t="s">
        <v>739</v>
      </c>
      <c r="AP192" s="172" t="s">
        <v>740</v>
      </c>
      <c r="AQ192" s="172" t="s">
        <v>741</v>
      </c>
      <c r="AR192" s="172" t="s">
        <v>742</v>
      </c>
      <c r="AS192" s="172" t="s">
        <v>743</v>
      </c>
      <c r="AT192" s="171" t="s">
        <v>744</v>
      </c>
      <c r="AU192" s="99" t="s">
        <v>1018</v>
      </c>
      <c r="AV192" s="99" t="s">
        <v>746</v>
      </c>
      <c r="AW192" s="99" t="str">
        <f>AW134</f>
        <v xml:space="preserve">DIABETES SELF MANAGEMENT </v>
      </c>
      <c r="AX192" s="172" t="s">
        <v>748</v>
      </c>
      <c r="AY192" s="172" t="s">
        <v>749</v>
      </c>
      <c r="AZ192" s="172" t="s">
        <v>750</v>
      </c>
      <c r="BA192" s="172" t="s">
        <v>751</v>
      </c>
      <c r="BB192" s="172" t="s">
        <v>752</v>
      </c>
      <c r="BC192" s="98"/>
      <c r="BD192" s="98"/>
      <c r="BE192" s="98"/>
      <c r="BF192" s="98"/>
      <c r="BG192" s="98"/>
      <c r="BH192" s="98"/>
      <c r="BI192" s="99"/>
      <c r="BJ192" s="99"/>
      <c r="BK192" s="99"/>
      <c r="BL192" s="98"/>
      <c r="BM192" s="98"/>
      <c r="BN192" s="99"/>
      <c r="BO192" s="99"/>
      <c r="BP192" s="99"/>
      <c r="BQ192" s="100" t="s">
        <v>754</v>
      </c>
      <c r="BR192" s="98"/>
      <c r="BS192" s="98"/>
      <c r="BT192" s="172" t="s">
        <v>755</v>
      </c>
      <c r="BU192" s="98" t="s">
        <v>756</v>
      </c>
      <c r="BV192" s="98" t="s">
        <v>620</v>
      </c>
      <c r="BW192" s="268" t="s">
        <v>758</v>
      </c>
      <c r="BX192" s="444" t="s">
        <v>758</v>
      </c>
    </row>
    <row r="193" spans="29:76" ht="38.25" hidden="1" customHeight="1">
      <c r="AC193" s="5">
        <v>52199</v>
      </c>
      <c r="AD193" s="902" t="s">
        <v>1048</v>
      </c>
      <c r="AE193" s="891"/>
      <c r="AF193" s="891"/>
      <c r="AG193" s="892"/>
      <c r="AH193" s="640">
        <v>6569</v>
      </c>
      <c r="AI193" s="580">
        <f t="shared" ref="AI193:AI196" si="214">SUM(AK193:BU193)</f>
        <v>3200</v>
      </c>
      <c r="AJ193" s="640">
        <v>0</v>
      </c>
      <c r="AK193" s="640">
        <v>0</v>
      </c>
      <c r="AL193" s="640">
        <v>0</v>
      </c>
      <c r="AM193" s="640">
        <v>0</v>
      </c>
      <c r="AN193" s="640">
        <v>0</v>
      </c>
      <c r="AO193" s="640">
        <v>0</v>
      </c>
      <c r="AP193" s="640">
        <v>0</v>
      </c>
      <c r="AQ193" s="640">
        <v>0</v>
      </c>
      <c r="AR193" s="640">
        <v>0</v>
      </c>
      <c r="AS193" s="640">
        <v>0</v>
      </c>
      <c r="AT193" s="640">
        <v>0</v>
      </c>
      <c r="AU193" s="640">
        <v>0</v>
      </c>
      <c r="AV193" s="640">
        <v>0</v>
      </c>
      <c r="AW193" s="640">
        <v>0</v>
      </c>
      <c r="AX193" s="640">
        <v>0</v>
      </c>
      <c r="AY193" s="640">
        <v>0</v>
      </c>
      <c r="AZ193" s="640">
        <v>0</v>
      </c>
      <c r="BA193" s="640">
        <v>0</v>
      </c>
      <c r="BB193" s="640">
        <v>0</v>
      </c>
      <c r="BC193" s="640">
        <v>0</v>
      </c>
      <c r="BD193" s="640">
        <v>0</v>
      </c>
      <c r="BE193" s="640">
        <v>0</v>
      </c>
      <c r="BF193" s="640">
        <v>0</v>
      </c>
      <c r="BG193" s="640">
        <v>0</v>
      </c>
      <c r="BH193" s="640">
        <v>0</v>
      </c>
      <c r="BI193" s="640">
        <v>0</v>
      </c>
      <c r="BJ193" s="640">
        <v>0</v>
      </c>
      <c r="BK193" s="640">
        <v>0</v>
      </c>
      <c r="BL193" s="640">
        <v>0</v>
      </c>
      <c r="BM193" s="640">
        <v>0</v>
      </c>
      <c r="BN193" s="640">
        <v>0</v>
      </c>
      <c r="BO193" s="640">
        <v>0</v>
      </c>
      <c r="BP193" s="640"/>
      <c r="BQ193" s="640">
        <v>0</v>
      </c>
      <c r="BR193" s="640">
        <v>0</v>
      </c>
      <c r="BS193" s="640">
        <v>0</v>
      </c>
      <c r="BT193" s="640">
        <v>0</v>
      </c>
      <c r="BU193" s="640">
        <v>3200</v>
      </c>
      <c r="BV193" s="669">
        <f>SUM(AK193:BU193)-BU193</f>
        <v>0</v>
      </c>
      <c r="BW193" s="643">
        <f>SUM(AI193-AH193)</f>
        <v>-3369</v>
      </c>
      <c r="BX193" s="634">
        <v>0</v>
      </c>
    </row>
    <row r="194" spans="29:76" ht="33.75" hidden="1" customHeight="1">
      <c r="AC194" s="5">
        <v>51320</v>
      </c>
      <c r="AD194" s="674" t="s">
        <v>1049</v>
      </c>
      <c r="AE194" s="639"/>
      <c r="AF194" s="639"/>
      <c r="AG194" s="516"/>
      <c r="AH194" s="640">
        <v>56696</v>
      </c>
      <c r="AI194" s="580">
        <f>SUM(AK194:BU194)</f>
        <v>41886.090000000004</v>
      </c>
      <c r="AJ194" s="640">
        <v>0</v>
      </c>
      <c r="AK194" s="640">
        <f>849.9+999.99</f>
        <v>1849.8899999999999</v>
      </c>
      <c r="AL194" s="640">
        <f>12018.56-8750</f>
        <v>3268.5599999999995</v>
      </c>
      <c r="AM194" s="640">
        <f>8791.99-6250</f>
        <v>2541.9899999999998</v>
      </c>
      <c r="AN194" s="640">
        <v>2000</v>
      </c>
      <c r="AO194" s="640">
        <v>0</v>
      </c>
      <c r="AP194" s="640">
        <v>268.62</v>
      </c>
      <c r="AQ194" s="640">
        <v>0</v>
      </c>
      <c r="AR194" s="640">
        <v>0</v>
      </c>
      <c r="AS194" s="640">
        <v>0</v>
      </c>
      <c r="AT194" s="640">
        <v>537.24</v>
      </c>
      <c r="AU194" s="640">
        <v>0</v>
      </c>
      <c r="AV194" s="640">
        <v>0</v>
      </c>
      <c r="AW194" s="640">
        <v>0</v>
      </c>
      <c r="AX194" s="640">
        <v>0</v>
      </c>
      <c r="AY194" s="640">
        <v>0</v>
      </c>
      <c r="AZ194" s="640">
        <v>0</v>
      </c>
      <c r="BA194" s="640">
        <v>0</v>
      </c>
      <c r="BB194" s="640">
        <v>268.62</v>
      </c>
      <c r="BC194" s="640">
        <v>0</v>
      </c>
      <c r="BD194" s="640">
        <v>0</v>
      </c>
      <c r="BE194" s="640">
        <v>0</v>
      </c>
      <c r="BF194" s="640">
        <v>0</v>
      </c>
      <c r="BG194" s="640">
        <v>0</v>
      </c>
      <c r="BH194" s="640">
        <v>0</v>
      </c>
      <c r="BI194" s="640">
        <v>0</v>
      </c>
      <c r="BJ194" s="640">
        <v>0</v>
      </c>
      <c r="BK194" s="640">
        <f>2999.97+1880.34</f>
        <v>4880.3099999999995</v>
      </c>
      <c r="BL194" s="640">
        <v>0</v>
      </c>
      <c r="BM194" s="640">
        <v>805.86</v>
      </c>
      <c r="BN194" s="640">
        <v>0</v>
      </c>
      <c r="BO194" s="640">
        <f>999.99+268.62</f>
        <v>1268.6100000000001</v>
      </c>
      <c r="BP194" s="640"/>
      <c r="BQ194" s="640">
        <v>670.04</v>
      </c>
      <c r="BR194" s="640">
        <v>0</v>
      </c>
      <c r="BS194" s="640">
        <v>499.98</v>
      </c>
      <c r="BT194" s="640">
        <v>0</v>
      </c>
      <c r="BU194" s="640">
        <f>1715+2000+4768.6+1000+9955.62+3587.15</f>
        <v>23026.370000000003</v>
      </c>
      <c r="BV194" s="669">
        <f>SUM(AK194:BU194)-BU194</f>
        <v>18859.72</v>
      </c>
      <c r="BW194" s="643">
        <f>SUM(AI194-AH194)</f>
        <v>-14809.909999999996</v>
      </c>
      <c r="BX194" s="634">
        <f>100%-(AH194/AI194)</f>
        <v>-0.35357585298603889</v>
      </c>
    </row>
    <row r="195" spans="29:76" ht="35.25" hidden="1" customHeight="1">
      <c r="AC195" s="5">
        <v>51320</v>
      </c>
      <c r="AD195" s="659" t="s">
        <v>1050</v>
      </c>
      <c r="AE195" s="102"/>
      <c r="AF195" s="102"/>
      <c r="AG195" s="105"/>
      <c r="AH195" s="580">
        <v>15622</v>
      </c>
      <c r="AI195" s="580">
        <f t="shared" si="214"/>
        <v>50545.75</v>
      </c>
      <c r="AJ195" s="640">
        <v>0</v>
      </c>
      <c r="AK195" s="580">
        <f>12275.77-AK194</f>
        <v>10425.880000000001</v>
      </c>
      <c r="AL195" s="580">
        <f>12018.56-AL194</f>
        <v>8750</v>
      </c>
      <c r="AM195" s="580">
        <f>8791.99-AM194</f>
        <v>6250</v>
      </c>
      <c r="AN195" s="580">
        <v>0</v>
      </c>
      <c r="AO195" s="580">
        <v>0</v>
      </c>
      <c r="AP195" s="580">
        <f>2268.62-AP194</f>
        <v>2000</v>
      </c>
      <c r="AQ195" s="580">
        <v>0</v>
      </c>
      <c r="AR195" s="580">
        <v>0</v>
      </c>
      <c r="AS195" s="640">
        <v>0</v>
      </c>
      <c r="AT195" s="580">
        <f>5000-AT194</f>
        <v>4462.76</v>
      </c>
      <c r="AU195" s="580">
        <v>0</v>
      </c>
      <c r="AV195" s="580">
        <v>0</v>
      </c>
      <c r="AW195" s="580">
        <v>0</v>
      </c>
      <c r="AX195" s="580">
        <v>0</v>
      </c>
      <c r="AY195" s="580">
        <v>0</v>
      </c>
      <c r="AZ195" s="580">
        <v>0</v>
      </c>
      <c r="BA195" s="580">
        <v>0</v>
      </c>
      <c r="BB195" s="580">
        <f>1078-269</f>
        <v>809</v>
      </c>
      <c r="BC195" s="580">
        <v>0</v>
      </c>
      <c r="BD195" s="580">
        <v>2499.98</v>
      </c>
      <c r="BE195" s="580">
        <v>0</v>
      </c>
      <c r="BF195" s="580">
        <v>0</v>
      </c>
      <c r="BG195" s="580">
        <v>3000</v>
      </c>
      <c r="BH195" s="580">
        <v>0</v>
      </c>
      <c r="BI195" s="580">
        <v>0</v>
      </c>
      <c r="BJ195" s="580">
        <v>0</v>
      </c>
      <c r="BK195" s="580">
        <f>6880.31-BK194</f>
        <v>2000.0000000000009</v>
      </c>
      <c r="BL195" s="580">
        <v>0</v>
      </c>
      <c r="BM195" s="580">
        <f>2805.86-BM194</f>
        <v>2000</v>
      </c>
      <c r="BN195" s="580">
        <v>0</v>
      </c>
      <c r="BO195" s="580">
        <f>3616.74-BO194</f>
        <v>2348.1299999999997</v>
      </c>
      <c r="BP195" s="640"/>
      <c r="BQ195" s="580">
        <v>0</v>
      </c>
      <c r="BR195" s="580">
        <v>2000</v>
      </c>
      <c r="BS195" s="580">
        <v>0</v>
      </c>
      <c r="BT195" s="580">
        <f>2000</f>
        <v>2000</v>
      </c>
      <c r="BU195" s="580">
        <f>2000</f>
        <v>2000</v>
      </c>
      <c r="BV195" s="669">
        <f>SUM(AK195:BU195)-BU195</f>
        <v>48545.75</v>
      </c>
      <c r="BW195" s="643">
        <f>SUM(AI195-AH195)</f>
        <v>34923.75</v>
      </c>
      <c r="BX195" s="634">
        <f t="shared" ref="BX195:BX197" si="215">100%-(AH195/AI195)</f>
        <v>0.69093346127023536</v>
      </c>
    </row>
    <row r="196" spans="29:76" ht="23.25" hidden="1" customHeight="1">
      <c r="AC196" s="675" t="s">
        <v>1051</v>
      </c>
      <c r="AD196" s="902" t="s">
        <v>1052</v>
      </c>
      <c r="AE196" s="891"/>
      <c r="AF196" s="891"/>
      <c r="AG196" s="892"/>
      <c r="AH196" s="580">
        <v>166815</v>
      </c>
      <c r="AI196" s="580">
        <f t="shared" si="214"/>
        <v>178054.06000000003</v>
      </c>
      <c r="AJ196" s="640">
        <v>0</v>
      </c>
      <c r="AK196" s="580">
        <v>3843.08</v>
      </c>
      <c r="AL196" s="580">
        <v>50651.8</v>
      </c>
      <c r="AM196" s="580">
        <v>9899.0499999999993</v>
      </c>
      <c r="AN196" s="580">
        <v>5157.26</v>
      </c>
      <c r="AO196" s="580">
        <v>4363.88</v>
      </c>
      <c r="AP196" s="580">
        <v>1767.57</v>
      </c>
      <c r="AQ196" s="580">
        <v>73.5</v>
      </c>
      <c r="AR196" s="580">
        <v>266.48</v>
      </c>
      <c r="AS196" s="580">
        <v>189.64</v>
      </c>
      <c r="AT196" s="580">
        <v>2802.93</v>
      </c>
      <c r="AU196" s="580">
        <v>0</v>
      </c>
      <c r="AV196" s="580">
        <v>0</v>
      </c>
      <c r="AW196" s="580">
        <v>175.49</v>
      </c>
      <c r="AX196" s="580">
        <v>151.06</v>
      </c>
      <c r="AY196" s="580">
        <v>199.22</v>
      </c>
      <c r="AZ196" s="580">
        <v>251.23</v>
      </c>
      <c r="BA196" s="580">
        <v>190.07</v>
      </c>
      <c r="BB196" s="580">
        <v>1305.92</v>
      </c>
      <c r="BC196" s="580">
        <v>408.6</v>
      </c>
      <c r="BD196" s="580">
        <v>5338.38</v>
      </c>
      <c r="BE196" s="580">
        <v>657.79</v>
      </c>
      <c r="BF196" s="580">
        <v>547.1</v>
      </c>
      <c r="BG196" s="580">
        <v>622.11</v>
      </c>
      <c r="BH196" s="580">
        <v>1264.54</v>
      </c>
      <c r="BI196" s="580">
        <v>1318.55</v>
      </c>
      <c r="BJ196" s="580">
        <v>5232.7299999999996</v>
      </c>
      <c r="BK196" s="580">
        <v>21592.79</v>
      </c>
      <c r="BL196" s="580">
        <v>1748.97</v>
      </c>
      <c r="BM196" s="580">
        <v>5415.55</v>
      </c>
      <c r="BN196" s="580">
        <v>1524.98</v>
      </c>
      <c r="BO196" s="580">
        <v>2227.9499999999998</v>
      </c>
      <c r="BP196" s="580">
        <v>0</v>
      </c>
      <c r="BQ196" s="580">
        <v>5461.68</v>
      </c>
      <c r="BR196" s="580">
        <v>1629.99</v>
      </c>
      <c r="BS196" s="580">
        <v>6448.29</v>
      </c>
      <c r="BT196" s="580">
        <f>3838.27+2374.22</f>
        <v>6212.49</v>
      </c>
      <c r="BU196" s="580">
        <f>10000+10000+4187.7+2027.79+2897.9</f>
        <v>29113.390000000003</v>
      </c>
      <c r="BV196" s="669">
        <f>SUM(AK196:BU196)-BU196</f>
        <v>148940.67000000001</v>
      </c>
      <c r="BW196" s="643">
        <f>SUM(AI196-AH196)</f>
        <v>11239.060000000027</v>
      </c>
      <c r="BX196" s="634">
        <f t="shared" si="215"/>
        <v>6.3121615985617052E-2</v>
      </c>
    </row>
    <row r="197" spans="29:76" ht="26.25" hidden="1" thickBot="1">
      <c r="AD197" s="661" t="s">
        <v>1053</v>
      </c>
      <c r="AE197" s="662"/>
      <c r="AF197" s="662"/>
      <c r="AG197" s="672"/>
      <c r="AH197" s="663">
        <f>SUM(AH193:AH196)+1</f>
        <v>245703</v>
      </c>
      <c r="AI197" s="663">
        <f t="shared" ref="AI197:BW197" si="216">SUM(AI193:AI196)</f>
        <v>273685.90000000002</v>
      </c>
      <c r="AJ197" s="663">
        <f t="shared" si="216"/>
        <v>0</v>
      </c>
      <c r="AK197" s="663">
        <f t="shared" si="216"/>
        <v>16118.85</v>
      </c>
      <c r="AL197" s="663">
        <f t="shared" si="216"/>
        <v>62670.36</v>
      </c>
      <c r="AM197" s="663">
        <f t="shared" si="216"/>
        <v>18691.04</v>
      </c>
      <c r="AN197" s="663">
        <f t="shared" si="216"/>
        <v>7157.26</v>
      </c>
      <c r="AO197" s="663">
        <f t="shared" si="216"/>
        <v>4363.88</v>
      </c>
      <c r="AP197" s="663">
        <f t="shared" si="216"/>
        <v>4036.1899999999996</v>
      </c>
      <c r="AQ197" s="663">
        <f t="shared" si="216"/>
        <v>73.5</v>
      </c>
      <c r="AR197" s="663">
        <f t="shared" si="216"/>
        <v>266.48</v>
      </c>
      <c r="AS197" s="663">
        <f t="shared" si="216"/>
        <v>189.64</v>
      </c>
      <c r="AT197" s="663">
        <f t="shared" si="216"/>
        <v>7802.93</v>
      </c>
      <c r="AU197" s="663">
        <f t="shared" si="216"/>
        <v>0</v>
      </c>
      <c r="AV197" s="663">
        <f t="shared" si="216"/>
        <v>0</v>
      </c>
      <c r="AW197" s="663">
        <f t="shared" si="216"/>
        <v>175.49</v>
      </c>
      <c r="AX197" s="663">
        <f t="shared" si="216"/>
        <v>151.06</v>
      </c>
      <c r="AY197" s="663">
        <f t="shared" si="216"/>
        <v>199.22</v>
      </c>
      <c r="AZ197" s="663">
        <f t="shared" si="216"/>
        <v>251.23</v>
      </c>
      <c r="BA197" s="663">
        <f t="shared" si="216"/>
        <v>190.07</v>
      </c>
      <c r="BB197" s="663">
        <f t="shared" si="216"/>
        <v>2383.54</v>
      </c>
      <c r="BC197" s="663">
        <f t="shared" si="216"/>
        <v>408.6</v>
      </c>
      <c r="BD197" s="663">
        <f t="shared" si="216"/>
        <v>7838.3600000000006</v>
      </c>
      <c r="BE197" s="663">
        <f t="shared" si="216"/>
        <v>657.79</v>
      </c>
      <c r="BF197" s="663">
        <f t="shared" si="216"/>
        <v>547.1</v>
      </c>
      <c r="BG197" s="663">
        <f t="shared" si="216"/>
        <v>3622.11</v>
      </c>
      <c r="BH197" s="663">
        <f t="shared" si="216"/>
        <v>1264.54</v>
      </c>
      <c r="BI197" s="663">
        <f t="shared" si="216"/>
        <v>1318.55</v>
      </c>
      <c r="BJ197" s="663">
        <f t="shared" si="216"/>
        <v>5232.7299999999996</v>
      </c>
      <c r="BK197" s="663">
        <f t="shared" si="216"/>
        <v>28473.100000000002</v>
      </c>
      <c r="BL197" s="663">
        <f t="shared" si="216"/>
        <v>1748.97</v>
      </c>
      <c r="BM197" s="663">
        <f t="shared" si="216"/>
        <v>8221.41</v>
      </c>
      <c r="BN197" s="663">
        <f t="shared" si="216"/>
        <v>1524.98</v>
      </c>
      <c r="BO197" s="663">
        <f t="shared" si="216"/>
        <v>5844.69</v>
      </c>
      <c r="BP197" s="663">
        <f t="shared" si="216"/>
        <v>0</v>
      </c>
      <c r="BQ197" s="663">
        <f t="shared" si="216"/>
        <v>6131.72</v>
      </c>
      <c r="BR197" s="663">
        <f t="shared" si="216"/>
        <v>3629.99</v>
      </c>
      <c r="BS197" s="663">
        <f t="shared" si="216"/>
        <v>6948.27</v>
      </c>
      <c r="BT197" s="663">
        <f t="shared" si="216"/>
        <v>8212.49</v>
      </c>
      <c r="BU197" s="663">
        <f t="shared" si="216"/>
        <v>57339.760000000009</v>
      </c>
      <c r="BV197" s="663">
        <f t="shared" si="216"/>
        <v>216346.14</v>
      </c>
      <c r="BW197" s="664">
        <f t="shared" si="216"/>
        <v>27983.900000000031</v>
      </c>
      <c r="BX197" s="665">
        <f t="shared" si="215"/>
        <v>0.102244580374802</v>
      </c>
    </row>
    <row r="198" spans="29:76" hidden="1">
      <c r="AD198" s="9"/>
      <c r="AE198" s="9"/>
      <c r="AF198" s="9"/>
      <c r="AG198" s="9"/>
    </row>
    <row r="199" spans="29:76" ht="34.5" hidden="1" customHeight="1">
      <c r="AD199" s="9"/>
      <c r="AE199" s="9"/>
      <c r="AF199" s="9"/>
      <c r="AG199" s="9"/>
    </row>
    <row r="200" spans="29:76" ht="15" hidden="1" thickBot="1">
      <c r="AD200" s="901" t="s">
        <v>1054</v>
      </c>
      <c r="AE200" s="901"/>
      <c r="AF200" s="901"/>
      <c r="AG200" s="901"/>
    </row>
    <row r="201" spans="29:76" ht="25.5" hidden="1">
      <c r="AD201" s="648"/>
      <c r="AE201" s="649"/>
      <c r="AF201" s="649"/>
      <c r="AG201" s="649"/>
      <c r="AH201" s="650" t="s">
        <v>616</v>
      </c>
      <c r="AI201" s="650" t="s">
        <v>616</v>
      </c>
      <c r="AJ201" s="651" t="s">
        <v>692</v>
      </c>
      <c r="AK201" s="650" t="s">
        <v>31</v>
      </c>
      <c r="AL201" s="650" t="s">
        <v>693</v>
      </c>
      <c r="AM201" s="650" t="s">
        <v>31</v>
      </c>
      <c r="AN201" s="651" t="s">
        <v>690</v>
      </c>
      <c r="AO201" s="651" t="s">
        <v>690</v>
      </c>
      <c r="AP201" s="651" t="s">
        <v>690</v>
      </c>
      <c r="AQ201" s="651" t="s">
        <v>690</v>
      </c>
      <c r="AR201" s="651" t="s">
        <v>690</v>
      </c>
      <c r="AS201" s="651" t="s">
        <v>690</v>
      </c>
      <c r="AT201" s="651" t="s">
        <v>690</v>
      </c>
      <c r="AU201" s="651" t="s">
        <v>690</v>
      </c>
      <c r="AV201" s="651" t="s">
        <v>690</v>
      </c>
      <c r="AW201" s="650" t="s">
        <v>31</v>
      </c>
      <c r="AX201" s="651" t="s">
        <v>690</v>
      </c>
      <c r="AY201" s="651" t="s">
        <v>690</v>
      </c>
      <c r="AZ201" s="651" t="s">
        <v>690</v>
      </c>
      <c r="BA201" s="651" t="s">
        <v>690</v>
      </c>
      <c r="BB201" s="651" t="s">
        <v>690</v>
      </c>
      <c r="BC201" s="650" t="s">
        <v>31</v>
      </c>
      <c r="BD201" s="650" t="s">
        <v>31</v>
      </c>
      <c r="BE201" s="650" t="s">
        <v>379</v>
      </c>
      <c r="BF201" s="651" t="s">
        <v>379</v>
      </c>
      <c r="BG201" s="651" t="s">
        <v>379</v>
      </c>
      <c r="BH201" s="651" t="s">
        <v>694</v>
      </c>
      <c r="BI201" s="652" t="s">
        <v>302</v>
      </c>
      <c r="BJ201" s="653" t="s">
        <v>302</v>
      </c>
      <c r="BK201" s="652" t="s">
        <v>302</v>
      </c>
      <c r="BL201" s="650" t="s">
        <v>126</v>
      </c>
      <c r="BM201" s="651" t="s">
        <v>126</v>
      </c>
      <c r="BN201" s="652" t="s">
        <v>350</v>
      </c>
      <c r="BO201" s="650" t="s">
        <v>78</v>
      </c>
      <c r="BP201" s="652" t="s">
        <v>78</v>
      </c>
      <c r="BQ201" s="654" t="s">
        <v>695</v>
      </c>
      <c r="BR201" s="650" t="s">
        <v>696</v>
      </c>
      <c r="BS201" s="650" t="s">
        <v>71</v>
      </c>
      <c r="BT201" s="652" t="s">
        <v>697</v>
      </c>
      <c r="BU201" s="650" t="s">
        <v>674</v>
      </c>
      <c r="BV201" s="650" t="s">
        <v>1003</v>
      </c>
      <c r="BW201" s="688" t="s">
        <v>616</v>
      </c>
      <c r="BX201" s="656" t="s">
        <v>698</v>
      </c>
    </row>
    <row r="202" spans="29:76" ht="12.75" hidden="1" customHeight="1">
      <c r="AD202" s="657"/>
      <c r="AE202" s="9"/>
      <c r="AF202" s="9"/>
      <c r="AG202" s="9"/>
      <c r="AH202" s="96" t="s">
        <v>707</v>
      </c>
      <c r="AI202" s="96" t="s">
        <v>707</v>
      </c>
      <c r="AJ202" s="169" t="s">
        <v>708</v>
      </c>
      <c r="AK202" s="96" t="s">
        <v>36</v>
      </c>
      <c r="AL202" s="96" t="s">
        <v>30</v>
      </c>
      <c r="AM202" s="96" t="s">
        <v>36</v>
      </c>
      <c r="AN202" s="169" t="s">
        <v>36</v>
      </c>
      <c r="AO202" s="169" t="s">
        <v>36</v>
      </c>
      <c r="AP202" s="169" t="s">
        <v>709</v>
      </c>
      <c r="AQ202" s="169" t="s">
        <v>36</v>
      </c>
      <c r="AR202" s="169" t="s">
        <v>36</v>
      </c>
      <c r="AS202" s="169" t="s">
        <v>709</v>
      </c>
      <c r="AT202" s="169" t="s">
        <v>36</v>
      </c>
      <c r="AU202" s="169" t="s">
        <v>36</v>
      </c>
      <c r="AV202" s="169" t="s">
        <v>36</v>
      </c>
      <c r="AW202" s="96" t="s">
        <v>40</v>
      </c>
      <c r="AX202" s="169" t="s">
        <v>40</v>
      </c>
      <c r="AY202" s="169" t="s">
        <v>40</v>
      </c>
      <c r="AZ202" s="169" t="s">
        <v>40</v>
      </c>
      <c r="BA202" s="169" t="s">
        <v>40</v>
      </c>
      <c r="BB202" s="169" t="s">
        <v>40</v>
      </c>
      <c r="BC202" s="96" t="s">
        <v>43</v>
      </c>
      <c r="BD202" s="96" t="s">
        <v>41</v>
      </c>
      <c r="BE202" s="96" t="s">
        <v>35</v>
      </c>
      <c r="BF202" s="169" t="s">
        <v>158</v>
      </c>
      <c r="BG202" s="169" t="s">
        <v>753</v>
      </c>
      <c r="BH202" s="169" t="s">
        <v>738</v>
      </c>
      <c r="BI202" s="96" t="s">
        <v>35</v>
      </c>
      <c r="BJ202" s="169" t="s">
        <v>738</v>
      </c>
      <c r="BK202" s="96" t="s">
        <v>739</v>
      </c>
      <c r="BL202" s="96" t="s">
        <v>35</v>
      </c>
      <c r="BM202" s="169" t="s">
        <v>739</v>
      </c>
      <c r="BN202" s="96" t="s">
        <v>35</v>
      </c>
      <c r="BO202" s="96" t="s">
        <v>35</v>
      </c>
      <c r="BP202" s="96" t="s">
        <v>740</v>
      </c>
      <c r="BQ202" s="97" t="s">
        <v>710</v>
      </c>
      <c r="BR202" s="96" t="s">
        <v>711</v>
      </c>
      <c r="BS202" s="96"/>
      <c r="BT202" s="96" t="s">
        <v>712</v>
      </c>
      <c r="BU202" s="96" t="s">
        <v>713</v>
      </c>
      <c r="BV202" s="96" t="s">
        <v>1004</v>
      </c>
      <c r="BW202" s="280" t="s">
        <v>707</v>
      </c>
      <c r="BX202" s="443" t="s">
        <v>707</v>
      </c>
    </row>
    <row r="203" spans="29:76" ht="12.75" hidden="1" customHeight="1">
      <c r="AD203" s="658"/>
      <c r="AE203" s="101"/>
      <c r="AF203" s="101"/>
      <c r="AG203" s="104"/>
      <c r="AH203" s="98" t="s">
        <v>734</v>
      </c>
      <c r="AI203" s="99" t="s">
        <v>735</v>
      </c>
      <c r="AJ203" s="172" t="s">
        <v>736</v>
      </c>
      <c r="AK203" s="98" t="s">
        <v>737</v>
      </c>
      <c r="AL203" s="98" t="s">
        <v>35</v>
      </c>
      <c r="AM203" s="98" t="s">
        <v>738</v>
      </c>
      <c r="AN203" s="171" t="s">
        <v>158</v>
      </c>
      <c r="AO203" s="171" t="s">
        <v>739</v>
      </c>
      <c r="AP203" s="172" t="s">
        <v>740</v>
      </c>
      <c r="AQ203" s="172" t="s">
        <v>741</v>
      </c>
      <c r="AR203" s="172" t="s">
        <v>742</v>
      </c>
      <c r="AS203" s="172" t="s">
        <v>743</v>
      </c>
      <c r="AT203" s="171" t="s">
        <v>744</v>
      </c>
      <c r="AU203" s="99" t="s">
        <v>1018</v>
      </c>
      <c r="AV203" s="99" t="s">
        <v>746</v>
      </c>
      <c r="AW203" s="99" t="str">
        <f>AW192</f>
        <v xml:space="preserve">DIABETES SELF MANAGEMENT </v>
      </c>
      <c r="AX203" s="172" t="s">
        <v>748</v>
      </c>
      <c r="AY203" s="172" t="s">
        <v>749</v>
      </c>
      <c r="AZ203" s="172" t="s">
        <v>750</v>
      </c>
      <c r="BA203" s="172" t="s">
        <v>751</v>
      </c>
      <c r="BB203" s="172" t="s">
        <v>752</v>
      </c>
      <c r="BC203" s="98"/>
      <c r="BD203" s="98"/>
      <c r="BE203" s="98"/>
      <c r="BF203" s="98"/>
      <c r="BG203" s="98"/>
      <c r="BH203" s="98"/>
      <c r="BI203" s="99"/>
      <c r="BJ203" s="99"/>
      <c r="BK203" s="99"/>
      <c r="BL203" s="98"/>
      <c r="BM203" s="98"/>
      <c r="BN203" s="99"/>
      <c r="BO203" s="99"/>
      <c r="BP203" s="99"/>
      <c r="BQ203" s="100" t="s">
        <v>754</v>
      </c>
      <c r="BR203" s="98"/>
      <c r="BS203" s="98"/>
      <c r="BT203" s="172" t="s">
        <v>755</v>
      </c>
      <c r="BU203" s="98" t="s">
        <v>756</v>
      </c>
      <c r="BV203" s="98" t="s">
        <v>620</v>
      </c>
      <c r="BW203" s="281" t="s">
        <v>758</v>
      </c>
      <c r="BX203" s="444" t="s">
        <v>758</v>
      </c>
    </row>
    <row r="204" spans="29:76" ht="26.25" hidden="1" customHeight="1">
      <c r="AC204" s="675" t="s">
        <v>1055</v>
      </c>
      <c r="AD204" s="910" t="s">
        <v>1056</v>
      </c>
      <c r="AE204" s="911"/>
      <c r="AF204" s="911"/>
      <c r="AG204" s="912"/>
      <c r="AH204" s="640">
        <v>183770</v>
      </c>
      <c r="AI204" s="580">
        <f t="shared" ref="AI204:AI219" si="217">SUM(AK204:BU204)</f>
        <v>798976.09</v>
      </c>
      <c r="AJ204" s="640">
        <v>0</v>
      </c>
      <c r="AK204" s="640">
        <f>277.08+0</f>
        <v>277.08</v>
      </c>
      <c r="AL204" s="640">
        <f>19214.14+15840</f>
        <v>35054.14</v>
      </c>
      <c r="AM204" s="640">
        <v>2706.15</v>
      </c>
      <c r="AN204" s="640">
        <v>964.27</v>
      </c>
      <c r="AO204" s="640">
        <v>747.38</v>
      </c>
      <c r="AP204" s="640">
        <v>277.08</v>
      </c>
      <c r="AQ204" s="640">
        <v>20.09</v>
      </c>
      <c r="AR204" s="640">
        <v>72.599999999999994</v>
      </c>
      <c r="AS204" s="640">
        <v>51.84</v>
      </c>
      <c r="AT204" s="640">
        <v>766.25</v>
      </c>
      <c r="AU204" s="640">
        <v>0</v>
      </c>
      <c r="AV204" s="640">
        <v>0</v>
      </c>
      <c r="AW204" s="580">
        <v>47.97</v>
      </c>
      <c r="AX204" s="580">
        <v>41.3</v>
      </c>
      <c r="AY204" s="580">
        <v>54.46</v>
      </c>
      <c r="AZ204" s="580">
        <v>68.05</v>
      </c>
      <c r="BA204" s="580">
        <v>51.7</v>
      </c>
      <c r="BB204" s="580">
        <v>357.01</v>
      </c>
      <c r="BC204" s="640">
        <v>223.97</v>
      </c>
      <c r="BD204" s="640">
        <v>1459.38</v>
      </c>
      <c r="BE204" s="640">
        <v>179.82</v>
      </c>
      <c r="BF204" s="640">
        <v>149.56</v>
      </c>
      <c r="BG204" s="640">
        <v>170.07</v>
      </c>
      <c r="BH204" s="640">
        <v>345.69</v>
      </c>
      <c r="BI204" s="640">
        <v>360.46</v>
      </c>
      <c r="BJ204" s="640">
        <v>1430.5</v>
      </c>
      <c r="BK204" s="640">
        <v>5457.53</v>
      </c>
      <c r="BL204" s="640">
        <v>478.12</v>
      </c>
      <c r="BM204" s="640">
        <v>1480.47</v>
      </c>
      <c r="BN204" s="640">
        <v>416.89</v>
      </c>
      <c r="BO204" s="640">
        <v>609.07000000000005</v>
      </c>
      <c r="BP204" s="640"/>
      <c r="BQ204" s="640">
        <v>1047.49</v>
      </c>
      <c r="BR204" s="640">
        <v>2215.09</v>
      </c>
      <c r="BS204" s="640">
        <v>1762.8</v>
      </c>
      <c r="BT204" s="640">
        <f>1049.29+649.05</f>
        <v>1698.34</v>
      </c>
      <c r="BU204" s="580">
        <f>43081.13+7000+792.21+600+36836.34+435.32+94906.49+1764.8+980.64+551536.54</f>
        <v>737933.47</v>
      </c>
      <c r="BV204" s="669">
        <f t="shared" ref="BV204:BV213" si="218">SUM(AK204:BU204)-BU204</f>
        <v>61042.619999999995</v>
      </c>
      <c r="BW204" s="691">
        <f>SUM(AI204-AH204)</f>
        <v>615206.09</v>
      </c>
      <c r="BX204" s="644">
        <f>100%-(AH204/AI204)</f>
        <v>0.76999311706561835</v>
      </c>
    </row>
    <row r="205" spans="29:76" ht="12.75" hidden="1" customHeight="1">
      <c r="AC205" s="5">
        <v>52410</v>
      </c>
      <c r="AD205" s="910" t="s">
        <v>1057</v>
      </c>
      <c r="AE205" s="911"/>
      <c r="AF205" s="911"/>
      <c r="AG205" s="912"/>
      <c r="AH205" s="580">
        <v>226752</v>
      </c>
      <c r="AI205" s="580">
        <f t="shared" si="217"/>
        <v>503682.47</v>
      </c>
      <c r="AJ205" s="640">
        <v>0</v>
      </c>
      <c r="AK205" s="640">
        <v>0</v>
      </c>
      <c r="AL205" s="640">
        <v>0</v>
      </c>
      <c r="AM205" s="640">
        <v>0</v>
      </c>
      <c r="AN205" s="640">
        <v>0</v>
      </c>
      <c r="AO205" s="640">
        <v>0</v>
      </c>
      <c r="AP205" s="640">
        <v>0</v>
      </c>
      <c r="AQ205" s="640">
        <v>0</v>
      </c>
      <c r="AR205" s="640">
        <v>0</v>
      </c>
      <c r="AS205" s="640">
        <v>0</v>
      </c>
      <c r="AT205" s="580">
        <v>180549.05</v>
      </c>
      <c r="AU205" s="580">
        <v>20200</v>
      </c>
      <c r="AV205" s="580">
        <v>15000</v>
      </c>
      <c r="AW205" s="580">
        <v>0</v>
      </c>
      <c r="AX205" s="580">
        <v>0</v>
      </c>
      <c r="AY205" s="580">
        <v>0</v>
      </c>
      <c r="AZ205" s="580">
        <v>0</v>
      </c>
      <c r="BA205" s="580">
        <v>2040</v>
      </c>
      <c r="BB205" s="580">
        <v>0</v>
      </c>
      <c r="BC205" s="580">
        <v>0</v>
      </c>
      <c r="BD205" s="580">
        <v>0</v>
      </c>
      <c r="BE205" s="580">
        <v>0</v>
      </c>
      <c r="BF205" s="580">
        <v>0</v>
      </c>
      <c r="BG205" s="580">
        <v>64785.279999999999</v>
      </c>
      <c r="BH205" s="580">
        <v>0</v>
      </c>
      <c r="BI205" s="580">
        <v>0</v>
      </c>
      <c r="BJ205" s="580">
        <v>0</v>
      </c>
      <c r="BK205" s="580">
        <v>0</v>
      </c>
      <c r="BL205" s="580">
        <v>0</v>
      </c>
      <c r="BM205" s="580">
        <v>0</v>
      </c>
      <c r="BN205" s="580">
        <v>0</v>
      </c>
      <c r="BO205" s="580">
        <v>0</v>
      </c>
      <c r="BP205" s="640"/>
      <c r="BQ205" s="580">
        <v>0</v>
      </c>
      <c r="BR205" s="580">
        <v>0</v>
      </c>
      <c r="BS205" s="580">
        <v>0</v>
      </c>
      <c r="BT205" s="580">
        <v>0</v>
      </c>
      <c r="BU205" s="580">
        <f>114987.25+55759.76+50361.13</f>
        <v>221108.14</v>
      </c>
      <c r="BV205" s="669">
        <f t="shared" si="218"/>
        <v>282574.32999999996</v>
      </c>
      <c r="BW205" s="582">
        <f t="shared" ref="BW205:BW214" si="219">SUM(AI205-AH205)</f>
        <v>276930.46999999997</v>
      </c>
      <c r="BX205" s="644">
        <f>100%-(AH205/AI205)</f>
        <v>0.54981161047752958</v>
      </c>
    </row>
    <row r="206" spans="29:76" ht="24" hidden="1" customHeight="1">
      <c r="AC206" s="675" t="s">
        <v>1058</v>
      </c>
      <c r="AD206" s="910" t="s">
        <v>1059</v>
      </c>
      <c r="AE206" s="911"/>
      <c r="AF206" s="911"/>
      <c r="AG206" s="912"/>
      <c r="AH206" s="580">
        <v>6889</v>
      </c>
      <c r="AI206" s="580">
        <f t="shared" si="217"/>
        <v>13822.41</v>
      </c>
      <c r="AJ206" s="640">
        <v>0</v>
      </c>
      <c r="AK206" s="580">
        <v>108.69</v>
      </c>
      <c r="AL206" s="580">
        <f>517.13+896</f>
        <v>1413.13</v>
      </c>
      <c r="AM206" s="580">
        <v>339.22</v>
      </c>
      <c r="AN206" s="580">
        <v>120.87</v>
      </c>
      <c r="AO206" s="580">
        <v>93.69</v>
      </c>
      <c r="AP206" s="580">
        <v>34.729999999999997</v>
      </c>
      <c r="AQ206" s="580">
        <v>2.52</v>
      </c>
      <c r="AR206" s="580">
        <v>9.1300000000000008</v>
      </c>
      <c r="AS206" s="640">
        <v>6.5</v>
      </c>
      <c r="AT206" s="580">
        <v>96.05</v>
      </c>
      <c r="AU206" s="580">
        <v>0</v>
      </c>
      <c r="AV206" s="580">
        <v>0</v>
      </c>
      <c r="AW206" s="580">
        <v>6.01</v>
      </c>
      <c r="AX206" s="580">
        <v>5.18</v>
      </c>
      <c r="AY206" s="580">
        <v>6.83</v>
      </c>
      <c r="AZ206" s="580">
        <v>8.61</v>
      </c>
      <c r="BA206" s="580">
        <v>6.51</v>
      </c>
      <c r="BB206" s="580">
        <v>44.75</v>
      </c>
      <c r="BC206" s="580">
        <v>14</v>
      </c>
      <c r="BD206" s="580">
        <v>182.94</v>
      </c>
      <c r="BE206" s="580">
        <v>22.54</v>
      </c>
      <c r="BF206" s="580">
        <v>18.75</v>
      </c>
      <c r="BG206" s="580">
        <v>21.32</v>
      </c>
      <c r="BH206" s="580">
        <v>43.33</v>
      </c>
      <c r="BI206" s="580">
        <v>45.18</v>
      </c>
      <c r="BJ206" s="580">
        <v>179.32</v>
      </c>
      <c r="BK206" s="580">
        <v>684.09</v>
      </c>
      <c r="BL206" s="580">
        <v>59.93</v>
      </c>
      <c r="BM206" s="580">
        <v>185.58</v>
      </c>
      <c r="BN206" s="580">
        <v>52.26</v>
      </c>
      <c r="BO206" s="580">
        <v>76.349999999999994</v>
      </c>
      <c r="BP206" s="640"/>
      <c r="BQ206" s="580">
        <v>131.30000000000001</v>
      </c>
      <c r="BR206" s="580">
        <v>288.79000000000002</v>
      </c>
      <c r="BS206" s="580">
        <v>4245.97</v>
      </c>
      <c r="BT206" s="580">
        <f>131.53+81.36</f>
        <v>212.89</v>
      </c>
      <c r="BU206" s="580">
        <f>500+500+221.22+122.92+3711.31</f>
        <v>5055.45</v>
      </c>
      <c r="BV206" s="669">
        <f t="shared" si="218"/>
        <v>8766.9599999999991</v>
      </c>
      <c r="BW206" s="582">
        <f>SUM(AI206-AH206)</f>
        <v>6933.41</v>
      </c>
      <c r="BX206" s="644">
        <f t="shared" ref="BX206:BX222" si="220">100%-(AH206/AI206)</f>
        <v>0.50160644923714459</v>
      </c>
    </row>
    <row r="207" spans="29:76" ht="39" hidden="1" customHeight="1">
      <c r="AC207" s="5">
        <v>50420</v>
      </c>
      <c r="AD207" s="910" t="s">
        <v>1060</v>
      </c>
      <c r="AE207" s="911"/>
      <c r="AF207" s="911"/>
      <c r="AG207" s="912"/>
      <c r="AH207" s="580">
        <v>88950</v>
      </c>
      <c r="AI207" s="580">
        <f t="shared" si="217"/>
        <v>298759.24000000005</v>
      </c>
      <c r="AJ207" s="640">
        <v>0</v>
      </c>
      <c r="AK207" s="580">
        <v>2446</v>
      </c>
      <c r="AL207" s="580">
        <v>20831.84</v>
      </c>
      <c r="AM207" s="580">
        <v>5493.45</v>
      </c>
      <c r="AN207" s="580">
        <v>2064.35</v>
      </c>
      <c r="AO207" s="580">
        <v>1600.02</v>
      </c>
      <c r="AP207" s="580">
        <v>539.19000000000005</v>
      </c>
      <c r="AQ207" s="580">
        <v>0</v>
      </c>
      <c r="AR207" s="580">
        <v>0</v>
      </c>
      <c r="AS207" s="640">
        <v>110.99</v>
      </c>
      <c r="AT207" s="580">
        <v>1640.43</v>
      </c>
      <c r="AU207" s="580">
        <v>0</v>
      </c>
      <c r="AV207" s="580">
        <v>0</v>
      </c>
      <c r="AW207" s="580">
        <v>102.71</v>
      </c>
      <c r="AX207" s="580">
        <v>88.41</v>
      </c>
      <c r="AY207" s="580">
        <v>116.59</v>
      </c>
      <c r="AZ207" s="580">
        <v>147.04</v>
      </c>
      <c r="BA207" s="580">
        <v>111.24</v>
      </c>
      <c r="BB207" s="580">
        <v>764.3</v>
      </c>
      <c r="BC207" s="580">
        <v>239.13</v>
      </c>
      <c r="BD207" s="580">
        <v>3124.3</v>
      </c>
      <c r="BE207" s="580">
        <v>384.97</v>
      </c>
      <c r="BF207" s="580">
        <v>302.19</v>
      </c>
      <c r="BG207" s="580">
        <v>364.09</v>
      </c>
      <c r="BH207" s="580">
        <v>740.08</v>
      </c>
      <c r="BI207" s="580">
        <v>771.69</v>
      </c>
      <c r="BJ207" s="580">
        <v>3062.47</v>
      </c>
      <c r="BK207" s="580">
        <v>11683.29</v>
      </c>
      <c r="BL207" s="580">
        <v>1023.59</v>
      </c>
      <c r="BM207" s="580">
        <v>3169.47</v>
      </c>
      <c r="BN207" s="580">
        <v>892.5</v>
      </c>
      <c r="BO207" s="580">
        <v>1303.92</v>
      </c>
      <c r="BP207" s="640"/>
      <c r="BQ207" s="580">
        <v>2242.5100000000002</v>
      </c>
      <c r="BR207" s="580">
        <v>4932.1499999999996</v>
      </c>
      <c r="BS207" s="580">
        <v>256.88</v>
      </c>
      <c r="BT207" s="580">
        <f>2246.36+1389.52</f>
        <v>3635.88</v>
      </c>
      <c r="BU207" s="580">
        <f>200000+3778.17+2099.39+1696.01+17000</f>
        <v>224573.57000000004</v>
      </c>
      <c r="BV207" s="669">
        <f t="shared" si="218"/>
        <v>74185.670000000013</v>
      </c>
      <c r="BW207" s="582">
        <f t="shared" si="219"/>
        <v>209809.24000000005</v>
      </c>
      <c r="BX207" s="644">
        <f t="shared" si="220"/>
        <v>0.70226862272109147</v>
      </c>
    </row>
    <row r="208" spans="29:76" ht="12.75" hidden="1" customHeight="1">
      <c r="AC208" s="5">
        <v>51400</v>
      </c>
      <c r="AD208" s="910" t="s">
        <v>1061</v>
      </c>
      <c r="AE208" s="911"/>
      <c r="AF208" s="911"/>
      <c r="AG208" s="912"/>
      <c r="AH208" s="580">
        <v>17497</v>
      </c>
      <c r="AI208" s="580">
        <f t="shared" si="217"/>
        <v>12467.31</v>
      </c>
      <c r="AJ208" s="640">
        <v>0</v>
      </c>
      <c r="AK208" s="580">
        <v>210.96</v>
      </c>
      <c r="AL208" s="580">
        <v>1003.72</v>
      </c>
      <c r="AM208" s="580">
        <v>658.42</v>
      </c>
      <c r="AN208" s="580">
        <v>234.61</v>
      </c>
      <c r="AO208" s="580">
        <v>181.84</v>
      </c>
      <c r="AP208" s="580">
        <v>67.42</v>
      </c>
      <c r="AQ208" s="580">
        <v>4.8899999999999997</v>
      </c>
      <c r="AR208" s="580">
        <v>17.72</v>
      </c>
      <c r="AS208" s="640">
        <v>12.61</v>
      </c>
      <c r="AT208" s="580">
        <v>186.43</v>
      </c>
      <c r="AU208" s="580">
        <v>0</v>
      </c>
      <c r="AV208" s="580">
        <v>0</v>
      </c>
      <c r="AW208" s="580">
        <v>11.67</v>
      </c>
      <c r="AX208" s="580">
        <v>10.050000000000001</v>
      </c>
      <c r="AY208" s="580">
        <v>13.25</v>
      </c>
      <c r="AZ208" s="580">
        <v>16.71</v>
      </c>
      <c r="BA208" s="580">
        <v>12.64</v>
      </c>
      <c r="BB208" s="580">
        <v>86.86</v>
      </c>
      <c r="BC208" s="580">
        <v>27.18</v>
      </c>
      <c r="BD208" s="580">
        <v>355.07</v>
      </c>
      <c r="BE208" s="580">
        <v>43.75</v>
      </c>
      <c r="BF208" s="580">
        <v>36.39</v>
      </c>
      <c r="BG208" s="580">
        <v>41.38</v>
      </c>
      <c r="BH208" s="580">
        <v>84.11</v>
      </c>
      <c r="BI208" s="580">
        <v>87.7</v>
      </c>
      <c r="BJ208" s="580">
        <v>348.05</v>
      </c>
      <c r="BK208" s="580">
        <v>1327.79</v>
      </c>
      <c r="BL208" s="580">
        <v>116.33</v>
      </c>
      <c r="BM208" s="580">
        <v>360.2</v>
      </c>
      <c r="BN208" s="580">
        <v>101.43</v>
      </c>
      <c r="BO208" s="580">
        <v>148.19</v>
      </c>
      <c r="BP208" s="640"/>
      <c r="BQ208" s="580">
        <v>254.86</v>
      </c>
      <c r="BR208" s="580">
        <v>560.53</v>
      </c>
      <c r="BS208" s="580">
        <v>4245.97</v>
      </c>
      <c r="BT208" s="580">
        <f>255.3+157.92</f>
        <v>413.22</v>
      </c>
      <c r="BU208" s="580">
        <f>218.73+105.91+429.38+238.59+192.75</f>
        <v>1185.3600000000001</v>
      </c>
      <c r="BV208" s="669">
        <f t="shared" si="218"/>
        <v>11281.949999999999</v>
      </c>
      <c r="BW208" s="582">
        <f t="shared" si="219"/>
        <v>-5029.6900000000005</v>
      </c>
      <c r="BX208" s="644">
        <f t="shared" si="220"/>
        <v>-0.403430250791871</v>
      </c>
    </row>
    <row r="209" spans="29:76" ht="21" hidden="1" customHeight="1">
      <c r="AC209" s="5">
        <v>52150</v>
      </c>
      <c r="AD209" s="910" t="s">
        <v>1062</v>
      </c>
      <c r="AE209" s="911"/>
      <c r="AF209" s="911"/>
      <c r="AG209" s="912"/>
      <c r="AH209" s="580">
        <v>11430</v>
      </c>
      <c r="AI209" s="580">
        <f t="shared" si="217"/>
        <v>13093.640000000001</v>
      </c>
      <c r="AJ209" s="640">
        <v>0</v>
      </c>
      <c r="AK209" s="580">
        <v>319.47000000000003</v>
      </c>
      <c r="AL209" s="580">
        <v>1520.01</v>
      </c>
      <c r="AM209" s="580">
        <v>997.08</v>
      </c>
      <c r="AN209" s="580">
        <v>355.29</v>
      </c>
      <c r="AO209" s="580">
        <v>275.37</v>
      </c>
      <c r="AP209" s="580">
        <v>102.09</v>
      </c>
      <c r="AQ209" s="580">
        <v>7.4</v>
      </c>
      <c r="AR209" s="580">
        <v>26.84</v>
      </c>
      <c r="AS209" s="640">
        <v>19.100000000000001</v>
      </c>
      <c r="AT209" s="580">
        <v>282.33</v>
      </c>
      <c r="AU209" s="580">
        <v>0</v>
      </c>
      <c r="AV209" s="580">
        <v>0</v>
      </c>
      <c r="AW209" s="580">
        <v>17.68</v>
      </c>
      <c r="AX209" s="580">
        <v>15.22</v>
      </c>
      <c r="AY209" s="580">
        <v>20.07</v>
      </c>
      <c r="AZ209" s="580">
        <v>25.31</v>
      </c>
      <c r="BA209" s="580">
        <v>19.14</v>
      </c>
      <c r="BB209" s="580">
        <v>131.54</v>
      </c>
      <c r="BC209" s="580">
        <v>41.16</v>
      </c>
      <c r="BD209" s="580">
        <v>537.71</v>
      </c>
      <c r="BE209" s="580">
        <v>66.260000000000005</v>
      </c>
      <c r="BF209" s="580">
        <v>55.11</v>
      </c>
      <c r="BG209" s="580">
        <v>62.66</v>
      </c>
      <c r="BH209" s="580">
        <v>127.37</v>
      </c>
      <c r="BI209" s="580">
        <v>132.81</v>
      </c>
      <c r="BJ209" s="580">
        <v>527.07000000000005</v>
      </c>
      <c r="BK209" s="580">
        <v>2010.76</v>
      </c>
      <c r="BL209" s="580">
        <v>176.17</v>
      </c>
      <c r="BM209" s="580">
        <v>545.48</v>
      </c>
      <c r="BN209" s="580">
        <v>153.6</v>
      </c>
      <c r="BO209" s="580">
        <v>218.41</v>
      </c>
      <c r="BP209" s="640"/>
      <c r="BQ209" s="580">
        <v>385.95</v>
      </c>
      <c r="BR209" s="580">
        <v>848.85</v>
      </c>
      <c r="BS209" s="580">
        <v>649.5</v>
      </c>
      <c r="BT209" s="580">
        <f>386.61+239.14</f>
        <v>625.75</v>
      </c>
      <c r="BU209" s="580">
        <f>331.24+160.39+650.24+361.32+291.89</f>
        <v>1795.08</v>
      </c>
      <c r="BV209" s="669">
        <f t="shared" si="218"/>
        <v>11298.560000000001</v>
      </c>
      <c r="BW209" s="582">
        <f t="shared" si="219"/>
        <v>1663.6400000000012</v>
      </c>
      <c r="BX209" s="644">
        <f t="shared" si="220"/>
        <v>0.12705710558714012</v>
      </c>
    </row>
    <row r="210" spans="29:76" ht="12.75" hidden="1" customHeight="1">
      <c r="AC210" s="675" t="s">
        <v>560</v>
      </c>
      <c r="AD210" s="910" t="s">
        <v>1063</v>
      </c>
      <c r="AE210" s="911"/>
      <c r="AF210" s="911"/>
      <c r="AG210" s="912"/>
      <c r="AH210" s="580">
        <v>0</v>
      </c>
      <c r="AI210" s="580">
        <f t="shared" si="217"/>
        <v>0</v>
      </c>
      <c r="AJ210" s="640">
        <v>0</v>
      </c>
      <c r="AK210" s="640">
        <v>0</v>
      </c>
      <c r="AL210" s="640">
        <v>0</v>
      </c>
      <c r="AM210" s="640">
        <v>0</v>
      </c>
      <c r="AN210" s="640">
        <v>0</v>
      </c>
      <c r="AO210" s="640">
        <v>0</v>
      </c>
      <c r="AP210" s="640">
        <v>0</v>
      </c>
      <c r="AQ210" s="640">
        <v>0</v>
      </c>
      <c r="AR210" s="640">
        <v>0</v>
      </c>
      <c r="AS210" s="640">
        <v>0</v>
      </c>
      <c r="AT210" s="640">
        <v>0</v>
      </c>
      <c r="AU210" s="640">
        <v>0</v>
      </c>
      <c r="AV210" s="640">
        <v>0</v>
      </c>
      <c r="AW210" s="640">
        <v>0</v>
      </c>
      <c r="AX210" s="640">
        <v>0</v>
      </c>
      <c r="AY210" s="640">
        <v>0</v>
      </c>
      <c r="AZ210" s="640">
        <v>0</v>
      </c>
      <c r="BA210" s="640">
        <v>0</v>
      </c>
      <c r="BB210" s="640">
        <v>0</v>
      </c>
      <c r="BC210" s="640">
        <v>0</v>
      </c>
      <c r="BD210" s="640">
        <v>0</v>
      </c>
      <c r="BE210" s="640">
        <v>0</v>
      </c>
      <c r="BF210" s="640">
        <v>0</v>
      </c>
      <c r="BG210" s="640">
        <v>0</v>
      </c>
      <c r="BH210" s="640">
        <v>0</v>
      </c>
      <c r="BI210" s="640">
        <v>0</v>
      </c>
      <c r="BJ210" s="640">
        <v>0</v>
      </c>
      <c r="BK210" s="640">
        <v>0</v>
      </c>
      <c r="BL210" s="640">
        <v>0</v>
      </c>
      <c r="BM210" s="640">
        <v>0</v>
      </c>
      <c r="BN210" s="640">
        <v>0</v>
      </c>
      <c r="BO210" s="640">
        <v>0</v>
      </c>
      <c r="BP210" s="640">
        <v>0</v>
      </c>
      <c r="BQ210" s="640">
        <v>0</v>
      </c>
      <c r="BR210" s="640">
        <v>0</v>
      </c>
      <c r="BS210" s="640">
        <v>0</v>
      </c>
      <c r="BT210" s="640">
        <v>0</v>
      </c>
      <c r="BU210" s="640">
        <v>0</v>
      </c>
      <c r="BV210" s="669">
        <f t="shared" si="218"/>
        <v>0</v>
      </c>
      <c r="BW210" s="582">
        <f t="shared" si="219"/>
        <v>0</v>
      </c>
      <c r="BX210" s="644">
        <v>0</v>
      </c>
    </row>
    <row r="211" spans="29:76" ht="24.75" hidden="1" customHeight="1">
      <c r="AC211" s="5">
        <v>51500</v>
      </c>
      <c r="AD211" s="910" t="s">
        <v>1064</v>
      </c>
      <c r="AE211" s="911"/>
      <c r="AF211" s="911"/>
      <c r="AG211" s="912"/>
      <c r="AH211" s="580">
        <v>19931</v>
      </c>
      <c r="AI211" s="580">
        <f t="shared" si="217"/>
        <v>19524.73</v>
      </c>
      <c r="AJ211" s="640">
        <v>0</v>
      </c>
      <c r="AK211" s="580">
        <v>0</v>
      </c>
      <c r="AL211" s="580">
        <v>9977.43</v>
      </c>
      <c r="AM211" s="580">
        <v>0</v>
      </c>
      <c r="AN211" s="580">
        <v>0</v>
      </c>
      <c r="AO211" s="580">
        <v>0</v>
      </c>
      <c r="AP211" s="580">
        <v>1750</v>
      </c>
      <c r="AQ211" s="580">
        <v>0</v>
      </c>
      <c r="AR211" s="580">
        <v>0</v>
      </c>
      <c r="AS211" s="580">
        <v>0</v>
      </c>
      <c r="AT211" s="580">
        <v>0</v>
      </c>
      <c r="AU211" s="580">
        <v>0</v>
      </c>
      <c r="AV211" s="580">
        <v>0</v>
      </c>
      <c r="AW211" s="580">
        <v>0</v>
      </c>
      <c r="AX211" s="580">
        <v>0</v>
      </c>
      <c r="AY211" s="580">
        <v>0</v>
      </c>
      <c r="AZ211" s="580">
        <v>0</v>
      </c>
      <c r="BA211" s="580">
        <v>0</v>
      </c>
      <c r="BB211" s="580">
        <v>0</v>
      </c>
      <c r="BC211" s="580">
        <v>0</v>
      </c>
      <c r="BD211" s="580">
        <v>0</v>
      </c>
      <c r="BE211" s="580">
        <v>0</v>
      </c>
      <c r="BF211" s="580">
        <v>0</v>
      </c>
      <c r="BG211" s="580">
        <v>0</v>
      </c>
      <c r="BH211" s="580">
        <v>0</v>
      </c>
      <c r="BI211" s="580">
        <v>0</v>
      </c>
      <c r="BJ211" s="580">
        <v>0</v>
      </c>
      <c r="BK211" s="580">
        <v>685</v>
      </c>
      <c r="BL211" s="580">
        <v>0</v>
      </c>
      <c r="BM211" s="580">
        <v>0</v>
      </c>
      <c r="BN211" s="580">
        <v>0</v>
      </c>
      <c r="BO211" s="580">
        <v>0</v>
      </c>
      <c r="BP211" s="580">
        <v>0</v>
      </c>
      <c r="BQ211" s="580">
        <v>0</v>
      </c>
      <c r="BR211" s="580">
        <v>0</v>
      </c>
      <c r="BS211" s="580">
        <v>500</v>
      </c>
      <c r="BT211" s="580">
        <v>0</v>
      </c>
      <c r="BU211" s="580">
        <f>6612.3</f>
        <v>6612.3</v>
      </c>
      <c r="BV211" s="669">
        <f t="shared" si="218"/>
        <v>12912.43</v>
      </c>
      <c r="BW211" s="582">
        <f t="shared" si="219"/>
        <v>-406.27000000000044</v>
      </c>
      <c r="BX211" s="644">
        <f t="shared" si="220"/>
        <v>-2.0807970199844039E-2</v>
      </c>
    </row>
    <row r="212" spans="29:76" ht="23.25" hidden="1" customHeight="1">
      <c r="AC212" s="675" t="s">
        <v>1065</v>
      </c>
      <c r="AD212" s="910" t="s">
        <v>1066</v>
      </c>
      <c r="AE212" s="911"/>
      <c r="AF212" s="911"/>
      <c r="AG212" s="912"/>
      <c r="AH212" s="580">
        <v>15359</v>
      </c>
      <c r="AI212" s="580">
        <f t="shared" si="217"/>
        <v>27023.340000000004</v>
      </c>
      <c r="AJ212" s="640">
        <v>0</v>
      </c>
      <c r="AK212" s="580">
        <v>0</v>
      </c>
      <c r="AL212" s="580">
        <v>14908</v>
      </c>
      <c r="AM212" s="580">
        <v>0</v>
      </c>
      <c r="AN212" s="580">
        <v>500</v>
      </c>
      <c r="AO212" s="580">
        <v>0</v>
      </c>
      <c r="AP212" s="580">
        <v>1000</v>
      </c>
      <c r="AQ212" s="580">
        <v>0</v>
      </c>
      <c r="AR212" s="580">
        <v>0</v>
      </c>
      <c r="AS212" s="640">
        <v>0</v>
      </c>
      <c r="AT212" s="580">
        <v>0</v>
      </c>
      <c r="AU212" s="580">
        <v>0</v>
      </c>
      <c r="AV212" s="580">
        <v>0</v>
      </c>
      <c r="AW212" s="580">
        <v>500</v>
      </c>
      <c r="AX212" s="580">
        <v>1000</v>
      </c>
      <c r="AY212" s="580">
        <v>500</v>
      </c>
      <c r="AZ212" s="580">
        <v>1500</v>
      </c>
      <c r="BA212" s="580">
        <v>1010</v>
      </c>
      <c r="BB212" s="580">
        <v>748.24</v>
      </c>
      <c r="BC212" s="580">
        <v>0</v>
      </c>
      <c r="BD212" s="580">
        <v>0</v>
      </c>
      <c r="BE212" s="580">
        <v>0</v>
      </c>
      <c r="BF212" s="580">
        <v>0</v>
      </c>
      <c r="BG212" s="580">
        <v>0</v>
      </c>
      <c r="BH212" s="580">
        <v>0</v>
      </c>
      <c r="BI212" s="580">
        <v>0</v>
      </c>
      <c r="BJ212" s="580">
        <v>0</v>
      </c>
      <c r="BK212" s="580">
        <v>1393.97</v>
      </c>
      <c r="BL212" s="580">
        <v>0</v>
      </c>
      <c r="BM212" s="580">
        <v>0</v>
      </c>
      <c r="BN212" s="580">
        <v>0</v>
      </c>
      <c r="BO212" s="580">
        <v>0</v>
      </c>
      <c r="BP212" s="640"/>
      <c r="BQ212" s="580">
        <v>996.29</v>
      </c>
      <c r="BR212" s="580">
        <v>0</v>
      </c>
      <c r="BS212" s="580">
        <v>1100</v>
      </c>
      <c r="BT212" s="580">
        <v>0</v>
      </c>
      <c r="BU212" s="580">
        <f>876.27+990.57</f>
        <v>1866.8400000000001</v>
      </c>
      <c r="BV212" s="669">
        <f t="shared" si="218"/>
        <v>25156.500000000004</v>
      </c>
      <c r="BW212" s="582">
        <f t="shared" si="219"/>
        <v>11664.340000000004</v>
      </c>
      <c r="BX212" s="644">
        <f t="shared" si="220"/>
        <v>0.43163946425571387</v>
      </c>
    </row>
    <row r="213" spans="29:76" ht="12.75" hidden="1" customHeight="1">
      <c r="AC213" s="675">
        <v>53290</v>
      </c>
      <c r="AD213" s="689" t="s">
        <v>1067</v>
      </c>
      <c r="AE213" s="690"/>
      <c r="AF213" s="690"/>
      <c r="AG213" s="473"/>
      <c r="AH213" s="580">
        <v>7742</v>
      </c>
      <c r="AI213" s="580">
        <f t="shared" si="217"/>
        <v>14741.68</v>
      </c>
      <c r="AJ213" s="640">
        <v>0</v>
      </c>
      <c r="AK213" s="580">
        <v>0</v>
      </c>
      <c r="AL213" s="580">
        <v>0</v>
      </c>
      <c r="AM213" s="580">
        <v>0</v>
      </c>
      <c r="AN213" s="580">
        <v>0</v>
      </c>
      <c r="AO213" s="580">
        <v>0</v>
      </c>
      <c r="AP213" s="580">
        <v>0</v>
      </c>
      <c r="AQ213" s="580">
        <v>0</v>
      </c>
      <c r="AR213" s="580">
        <v>0</v>
      </c>
      <c r="AS213" s="580">
        <v>0</v>
      </c>
      <c r="AT213" s="580">
        <v>0</v>
      </c>
      <c r="AU213" s="580">
        <v>0</v>
      </c>
      <c r="AV213" s="580">
        <v>0</v>
      </c>
      <c r="AW213" s="580">
        <v>0</v>
      </c>
      <c r="AX213" s="580">
        <v>0</v>
      </c>
      <c r="AY213" s="580">
        <v>0</v>
      </c>
      <c r="AZ213" s="580">
        <v>0</v>
      </c>
      <c r="BA213" s="580">
        <v>0</v>
      </c>
      <c r="BB213" s="580">
        <v>0</v>
      </c>
      <c r="BC213" s="580">
        <v>0</v>
      </c>
      <c r="BD213" s="580">
        <v>0</v>
      </c>
      <c r="BE213" s="580">
        <v>0</v>
      </c>
      <c r="BF213" s="580">
        <v>0</v>
      </c>
      <c r="BG213" s="580">
        <v>0</v>
      </c>
      <c r="BH213" s="580">
        <v>0</v>
      </c>
      <c r="BI213" s="580">
        <v>0</v>
      </c>
      <c r="BJ213" s="580">
        <v>0</v>
      </c>
      <c r="BK213" s="580">
        <v>0</v>
      </c>
      <c r="BL213" s="580">
        <v>0</v>
      </c>
      <c r="BM213" s="580">
        <v>0</v>
      </c>
      <c r="BN213" s="580">
        <v>0</v>
      </c>
      <c r="BO213" s="580">
        <v>0</v>
      </c>
      <c r="BP213" s="580">
        <v>0</v>
      </c>
      <c r="BQ213" s="580">
        <v>0</v>
      </c>
      <c r="BR213" s="580">
        <v>0</v>
      </c>
      <c r="BS213" s="580">
        <v>0</v>
      </c>
      <c r="BT213" s="580">
        <v>0</v>
      </c>
      <c r="BU213" s="580">
        <f>7741.68+7000</f>
        <v>14741.68</v>
      </c>
      <c r="BV213" s="669">
        <f t="shared" si="218"/>
        <v>0</v>
      </c>
      <c r="BW213" s="582">
        <f t="shared" si="219"/>
        <v>6999.68</v>
      </c>
      <c r="BX213" s="644">
        <f t="shared" si="220"/>
        <v>0.47482240830081779</v>
      </c>
    </row>
    <row r="214" spans="29:76" ht="12.75" hidden="1" customHeight="1">
      <c r="AC214" s="5">
        <v>52320</v>
      </c>
      <c r="AD214" s="910" t="s">
        <v>1068</v>
      </c>
      <c r="AE214" s="911"/>
      <c r="AF214" s="911"/>
      <c r="AG214" s="912"/>
      <c r="AH214" s="580">
        <v>7814</v>
      </c>
      <c r="AI214" s="580">
        <f t="shared" si="217"/>
        <v>8011.36</v>
      </c>
      <c r="AJ214" s="640">
        <v>0</v>
      </c>
      <c r="AK214" s="580">
        <v>195.39</v>
      </c>
      <c r="AL214" s="580">
        <v>929.67</v>
      </c>
      <c r="AM214" s="580">
        <v>609.84</v>
      </c>
      <c r="AN214" s="580">
        <v>217.3</v>
      </c>
      <c r="AO214" s="580">
        <v>168.42</v>
      </c>
      <c r="AP214" s="580">
        <v>62.44</v>
      </c>
      <c r="AQ214" s="580">
        <v>4.53</v>
      </c>
      <c r="AR214" s="580">
        <v>16.420000000000002</v>
      </c>
      <c r="AS214" s="640">
        <v>11.68</v>
      </c>
      <c r="AT214" s="580">
        <v>172.68</v>
      </c>
      <c r="AU214" s="580">
        <v>0</v>
      </c>
      <c r="AV214" s="580">
        <v>0</v>
      </c>
      <c r="AW214" s="580">
        <v>10.81</v>
      </c>
      <c r="AX214" s="580">
        <v>9.31</v>
      </c>
      <c r="AY214" s="580">
        <v>12.27</v>
      </c>
      <c r="AZ214" s="580">
        <v>15.48</v>
      </c>
      <c r="BA214" s="580">
        <v>11.71</v>
      </c>
      <c r="BB214" s="580">
        <v>80.45</v>
      </c>
      <c r="BC214" s="580">
        <v>25.17</v>
      </c>
      <c r="BD214" s="580">
        <v>328.87</v>
      </c>
      <c r="BE214" s="580">
        <v>40.520000000000003</v>
      </c>
      <c r="BF214" s="580">
        <v>33.700000000000003</v>
      </c>
      <c r="BG214" s="580">
        <v>38.33</v>
      </c>
      <c r="BH214" s="580">
        <v>77.900000000000006</v>
      </c>
      <c r="BI214" s="580">
        <v>81.23</v>
      </c>
      <c r="BJ214" s="580">
        <v>322.37</v>
      </c>
      <c r="BK214" s="580">
        <v>1229.82</v>
      </c>
      <c r="BL214" s="580">
        <v>107.75</v>
      </c>
      <c r="BM214" s="580">
        <v>333.63</v>
      </c>
      <c r="BN214" s="580">
        <v>94</v>
      </c>
      <c r="BO214" s="580">
        <v>137.25</v>
      </c>
      <c r="BP214" s="640"/>
      <c r="BQ214" s="580">
        <v>236.05</v>
      </c>
      <c r="BR214" s="580">
        <v>519.16999999999996</v>
      </c>
      <c r="BS214" s="580">
        <v>397.25</v>
      </c>
      <c r="BT214" s="580">
        <f>236.46+146.27</f>
        <v>382.73</v>
      </c>
      <c r="BU214" s="580">
        <f>150+150+397.7+220.99+178.53</f>
        <v>1097.22</v>
      </c>
      <c r="BV214" s="669">
        <f>SUM(AK214:BU214)-BU214+2</f>
        <v>6916.1399999999994</v>
      </c>
      <c r="BW214" s="582">
        <f t="shared" si="219"/>
        <v>197.35999999999967</v>
      </c>
      <c r="BX214" s="644">
        <f t="shared" si="220"/>
        <v>2.4635018274050791E-2</v>
      </c>
    </row>
    <row r="215" spans="29:76" ht="12.75" hidden="1" customHeight="1">
      <c r="AD215" s="692"/>
      <c r="AE215" s="693"/>
      <c r="AF215" s="693"/>
      <c r="AG215" s="694"/>
      <c r="AH215" s="161"/>
      <c r="AI215" s="161"/>
      <c r="AJ215" s="161"/>
      <c r="AK215" s="161"/>
      <c r="AL215" s="161"/>
      <c r="AM215" s="161"/>
      <c r="AN215" s="161"/>
      <c r="AO215" s="161"/>
      <c r="AP215" s="161"/>
      <c r="AQ215" s="161"/>
      <c r="AR215" s="161"/>
      <c r="AS215" s="161"/>
      <c r="AT215" s="161"/>
      <c r="AU215" s="161"/>
      <c r="AV215" s="161"/>
      <c r="AW215" s="161"/>
      <c r="AX215" s="161"/>
      <c r="AY215" s="161"/>
      <c r="AZ215" s="161"/>
      <c r="BA215" s="161"/>
      <c r="BB215" s="161"/>
      <c r="BC215" s="161"/>
      <c r="BD215" s="161"/>
      <c r="BE215" s="161"/>
      <c r="BF215" s="161"/>
      <c r="BG215" s="161"/>
      <c r="BH215" s="161"/>
      <c r="BI215" s="161"/>
      <c r="BJ215" s="161"/>
      <c r="BK215" s="161"/>
      <c r="BL215" s="161"/>
      <c r="BM215" s="161"/>
      <c r="BN215" s="161"/>
      <c r="BO215" s="161"/>
      <c r="BP215" s="161"/>
      <c r="BQ215" s="161"/>
      <c r="BR215" s="161"/>
      <c r="BS215" s="161"/>
      <c r="BT215" s="161"/>
      <c r="BU215" s="161"/>
      <c r="BV215" s="669">
        <v>0</v>
      </c>
      <c r="BW215" s="582"/>
      <c r="BX215" s="644">
        <v>0</v>
      </c>
    </row>
    <row r="216" spans="29:76" ht="12.75" hidden="1" customHeight="1">
      <c r="AC216" s="5">
        <v>51710</v>
      </c>
      <c r="AD216" s="910" t="s">
        <v>1069</v>
      </c>
      <c r="AE216" s="911"/>
      <c r="AF216" s="911"/>
      <c r="AG216" s="912"/>
      <c r="AH216" s="580">
        <v>6027</v>
      </c>
      <c r="AI216" s="580">
        <f t="shared" si="217"/>
        <v>5800</v>
      </c>
      <c r="AJ216" s="580">
        <v>0</v>
      </c>
      <c r="AK216" s="580">
        <v>0</v>
      </c>
      <c r="AL216" s="580">
        <v>0</v>
      </c>
      <c r="AM216" s="580">
        <v>300</v>
      </c>
      <c r="AN216" s="580">
        <v>0</v>
      </c>
      <c r="AO216" s="580">
        <v>0</v>
      </c>
      <c r="AP216" s="580">
        <v>4650</v>
      </c>
      <c r="AQ216" s="580">
        <v>0</v>
      </c>
      <c r="AR216" s="580">
        <v>0</v>
      </c>
      <c r="AS216" s="640">
        <v>0</v>
      </c>
      <c r="AT216" s="580">
        <v>0</v>
      </c>
      <c r="AU216" s="580">
        <v>0</v>
      </c>
      <c r="AV216" s="580">
        <v>0</v>
      </c>
      <c r="AW216" s="580">
        <v>0</v>
      </c>
      <c r="AX216" s="580">
        <v>0</v>
      </c>
      <c r="AY216" s="580">
        <v>0</v>
      </c>
      <c r="AZ216" s="580">
        <v>0</v>
      </c>
      <c r="BA216" s="580">
        <v>0</v>
      </c>
      <c r="BB216" s="580">
        <v>0</v>
      </c>
      <c r="BC216" s="580">
        <v>0</v>
      </c>
      <c r="BD216" s="580">
        <v>350</v>
      </c>
      <c r="BE216" s="580">
        <v>0</v>
      </c>
      <c r="BF216" s="580">
        <v>0</v>
      </c>
      <c r="BG216" s="580">
        <v>0</v>
      </c>
      <c r="BH216" s="580">
        <v>0</v>
      </c>
      <c r="BI216" s="580">
        <v>0</v>
      </c>
      <c r="BJ216" s="580">
        <v>0</v>
      </c>
      <c r="BK216" s="580">
        <v>0</v>
      </c>
      <c r="BL216" s="580">
        <v>0</v>
      </c>
      <c r="BM216" s="580">
        <v>0</v>
      </c>
      <c r="BN216" s="580">
        <v>0</v>
      </c>
      <c r="BO216" s="580">
        <v>0</v>
      </c>
      <c r="BP216" s="580">
        <v>0</v>
      </c>
      <c r="BQ216" s="580">
        <v>0</v>
      </c>
      <c r="BR216" s="580">
        <v>0</v>
      </c>
      <c r="BS216" s="580">
        <v>0</v>
      </c>
      <c r="BT216" s="580">
        <v>0</v>
      </c>
      <c r="BU216" s="580">
        <f>250+250</f>
        <v>500</v>
      </c>
      <c r="BV216" s="669">
        <f t="shared" ref="BV216" si="221">SUM(AK216:BU216)-BU216+2</f>
        <v>5302</v>
      </c>
      <c r="BW216" s="582">
        <f>SUM(AI216-AH216)</f>
        <v>-227</v>
      </c>
      <c r="BX216" s="644">
        <f t="shared" si="220"/>
        <v>-3.913793103448282E-2</v>
      </c>
    </row>
    <row r="217" spans="29:76" ht="12.75" hidden="1" customHeight="1">
      <c r="AC217" s="675" t="s">
        <v>1070</v>
      </c>
      <c r="AD217" s="910" t="s">
        <v>1071</v>
      </c>
      <c r="AE217" s="911"/>
      <c r="AF217" s="911"/>
      <c r="AG217" s="912"/>
      <c r="AH217" s="580">
        <v>0</v>
      </c>
      <c r="AI217" s="580">
        <f t="shared" si="217"/>
        <v>0</v>
      </c>
      <c r="AJ217" s="580">
        <v>0</v>
      </c>
      <c r="AK217" s="580">
        <v>0</v>
      </c>
      <c r="AL217" s="580">
        <v>0</v>
      </c>
      <c r="AM217" s="580">
        <v>0</v>
      </c>
      <c r="AN217" s="580">
        <v>0</v>
      </c>
      <c r="AO217" s="580">
        <v>0</v>
      </c>
      <c r="AP217" s="580">
        <v>0</v>
      </c>
      <c r="AQ217" s="580">
        <v>0</v>
      </c>
      <c r="AR217" s="580">
        <v>0</v>
      </c>
      <c r="AS217" s="640">
        <v>0</v>
      </c>
      <c r="AT217" s="580">
        <v>0</v>
      </c>
      <c r="AU217" s="580">
        <v>0</v>
      </c>
      <c r="AV217" s="580">
        <v>0</v>
      </c>
      <c r="AW217" s="580">
        <v>0</v>
      </c>
      <c r="AX217" s="580">
        <v>0</v>
      </c>
      <c r="AY217" s="580">
        <v>0</v>
      </c>
      <c r="AZ217" s="580">
        <v>0</v>
      </c>
      <c r="BA217" s="580">
        <v>0</v>
      </c>
      <c r="BB217" s="580">
        <v>0</v>
      </c>
      <c r="BC217" s="580">
        <v>0</v>
      </c>
      <c r="BD217" s="580">
        <v>0</v>
      </c>
      <c r="BE217" s="580">
        <v>0</v>
      </c>
      <c r="BF217" s="580">
        <v>0</v>
      </c>
      <c r="BG217" s="580">
        <v>0</v>
      </c>
      <c r="BH217" s="580">
        <v>0</v>
      </c>
      <c r="BI217" s="580">
        <v>0</v>
      </c>
      <c r="BJ217" s="580">
        <v>0</v>
      </c>
      <c r="BK217" s="580">
        <v>0</v>
      </c>
      <c r="BL217" s="580">
        <v>0</v>
      </c>
      <c r="BM217" s="580">
        <v>0</v>
      </c>
      <c r="BN217" s="580">
        <v>0</v>
      </c>
      <c r="BO217" s="580">
        <v>0</v>
      </c>
      <c r="BP217" s="580">
        <v>0</v>
      </c>
      <c r="BQ217" s="580">
        <v>0</v>
      </c>
      <c r="BR217" s="580">
        <v>0</v>
      </c>
      <c r="BS217" s="580">
        <v>0</v>
      </c>
      <c r="BT217" s="580">
        <v>0</v>
      </c>
      <c r="BU217" s="580">
        <v>0</v>
      </c>
      <c r="BV217" s="581">
        <f>SUM(AK217:BU217)-BU217</f>
        <v>0</v>
      </c>
      <c r="BW217" s="582">
        <f>SUM(AI217-AH217)</f>
        <v>0</v>
      </c>
      <c r="BX217" s="644">
        <v>0</v>
      </c>
    </row>
    <row r="218" spans="29:76" ht="12.75" hidden="1" customHeight="1">
      <c r="AD218" s="695" t="s">
        <v>560</v>
      </c>
      <c r="AE218" s="696"/>
      <c r="AF218" s="696"/>
      <c r="AG218" s="697"/>
      <c r="AH218" s="640"/>
      <c r="AI218" s="580"/>
      <c r="AJ218" s="640"/>
      <c r="AK218" s="640"/>
      <c r="AL218" s="640"/>
      <c r="AM218" s="640"/>
      <c r="AN218" s="640"/>
      <c r="AO218" s="640"/>
      <c r="AP218" s="640"/>
      <c r="AQ218" s="640"/>
      <c r="AR218" s="640"/>
      <c r="AS218" s="640"/>
      <c r="AT218" s="640"/>
      <c r="AU218" s="640"/>
      <c r="AV218" s="640"/>
      <c r="AW218" s="640"/>
      <c r="AX218" s="640"/>
      <c r="AY218" s="640"/>
      <c r="AZ218" s="640"/>
      <c r="BA218" s="640"/>
      <c r="BB218" s="640"/>
      <c r="BC218" s="640"/>
      <c r="BD218" s="640"/>
      <c r="BE218" s="640"/>
      <c r="BF218" s="640"/>
      <c r="BG218" s="640"/>
      <c r="BH218" s="640"/>
      <c r="BI218" s="640"/>
      <c r="BJ218" s="640"/>
      <c r="BK218" s="640"/>
      <c r="BL218" s="640"/>
      <c r="BM218" s="640"/>
      <c r="BN218" s="640"/>
      <c r="BO218" s="640"/>
      <c r="BP218" s="640"/>
      <c r="BQ218" s="640"/>
      <c r="BR218" s="640"/>
      <c r="BS218" s="640"/>
      <c r="BT218" s="640"/>
      <c r="BU218" s="640"/>
      <c r="BV218" s="581"/>
      <c r="BW218" s="582"/>
      <c r="BX218" s="644"/>
    </row>
    <row r="219" spans="29:76" ht="12.75" hidden="1" customHeight="1">
      <c r="AD219" s="910" t="s">
        <v>1072</v>
      </c>
      <c r="AE219" s="911"/>
      <c r="AF219" s="911"/>
      <c r="AG219" s="912"/>
      <c r="AH219" s="580">
        <v>0</v>
      </c>
      <c r="AI219" s="580">
        <f t="shared" si="217"/>
        <v>45081</v>
      </c>
      <c r="AJ219" s="580">
        <v>0</v>
      </c>
      <c r="AK219" s="580">
        <v>0</v>
      </c>
      <c r="AL219" s="580">
        <v>0</v>
      </c>
      <c r="AM219" s="580">
        <v>0</v>
      </c>
      <c r="AN219" s="580">
        <v>0</v>
      </c>
      <c r="AO219" s="580">
        <v>0</v>
      </c>
      <c r="AP219" s="580">
        <v>0</v>
      </c>
      <c r="AQ219" s="580">
        <v>0</v>
      </c>
      <c r="AR219" s="580">
        <v>0</v>
      </c>
      <c r="AS219" s="580">
        <v>0</v>
      </c>
      <c r="AT219" s="580">
        <v>0</v>
      </c>
      <c r="AU219" s="580">
        <v>0</v>
      </c>
      <c r="AV219" s="580">
        <v>0</v>
      </c>
      <c r="AW219" s="580">
        <v>0</v>
      </c>
      <c r="AX219" s="580">
        <v>0</v>
      </c>
      <c r="AY219" s="580">
        <v>0</v>
      </c>
      <c r="AZ219" s="580">
        <v>0</v>
      </c>
      <c r="BA219" s="580">
        <v>0</v>
      </c>
      <c r="BB219" s="580">
        <v>0</v>
      </c>
      <c r="BC219" s="580">
        <v>0</v>
      </c>
      <c r="BD219" s="580">
        <v>0</v>
      </c>
      <c r="BE219" s="580">
        <v>0</v>
      </c>
      <c r="BF219" s="580">
        <v>0</v>
      </c>
      <c r="BG219" s="580">
        <v>0</v>
      </c>
      <c r="BH219" s="580">
        <v>0</v>
      </c>
      <c r="BI219" s="580">
        <v>0</v>
      </c>
      <c r="BJ219" s="580">
        <v>0</v>
      </c>
      <c r="BK219" s="580">
        <v>0</v>
      </c>
      <c r="BL219" s="580">
        <v>0</v>
      </c>
      <c r="BM219" s="580">
        <v>0</v>
      </c>
      <c r="BN219" s="580">
        <v>0</v>
      </c>
      <c r="BO219" s="580">
        <v>0</v>
      </c>
      <c r="BP219" s="580">
        <v>0</v>
      </c>
      <c r="BQ219" s="580">
        <v>0</v>
      </c>
      <c r="BR219" s="580">
        <v>0</v>
      </c>
      <c r="BS219" s="580">
        <v>0</v>
      </c>
      <c r="BT219" s="580">
        <v>0</v>
      </c>
      <c r="BU219" s="580">
        <f>45081</f>
        <v>45081</v>
      </c>
      <c r="BV219" s="581">
        <f>SUM(AK219:BU219)-BU219</f>
        <v>0</v>
      </c>
      <c r="BW219" s="582">
        <f>SUM(AI219-AH219)</f>
        <v>45081</v>
      </c>
      <c r="BX219" s="644">
        <v>0</v>
      </c>
    </row>
    <row r="220" spans="29:76" s="8" customFormat="1" ht="24.75" hidden="1" customHeight="1">
      <c r="AD220" s="916" t="s">
        <v>1073</v>
      </c>
      <c r="AE220" s="917"/>
      <c r="AF220" s="917"/>
      <c r="AG220" s="918"/>
      <c r="AH220" s="581">
        <f>SUM(AH204:AH219)-1</f>
        <v>592160</v>
      </c>
      <c r="AI220" s="581">
        <f>SUM(AI204:AI219)</f>
        <v>1760983.27</v>
      </c>
      <c r="AJ220" s="581">
        <f t="shared" ref="AJ220:BW220" si="222">SUM(AJ204:AJ219)</f>
        <v>0</v>
      </c>
      <c r="AK220" s="581">
        <f>SUM(AK204:AK219)</f>
        <v>3557.5899999999997</v>
      </c>
      <c r="AL220" s="581">
        <f t="shared" si="222"/>
        <v>85637.94</v>
      </c>
      <c r="AM220" s="581">
        <f t="shared" si="222"/>
        <v>11104.16</v>
      </c>
      <c r="AN220" s="581">
        <f t="shared" si="222"/>
        <v>4456.6899999999996</v>
      </c>
      <c r="AO220" s="581">
        <f t="shared" si="222"/>
        <v>3066.7200000000003</v>
      </c>
      <c r="AP220" s="581">
        <f t="shared" si="222"/>
        <v>8482.9500000000007</v>
      </c>
      <c r="AQ220" s="581">
        <f t="shared" si="222"/>
        <v>39.43</v>
      </c>
      <c r="AR220" s="581">
        <f t="shared" si="222"/>
        <v>142.70999999999998</v>
      </c>
      <c r="AS220" s="581">
        <f t="shared" si="222"/>
        <v>212.72</v>
      </c>
      <c r="AT220" s="581">
        <f t="shared" si="222"/>
        <v>183693.21999999994</v>
      </c>
      <c r="AU220" s="581">
        <f t="shared" si="222"/>
        <v>20200</v>
      </c>
      <c r="AV220" s="581">
        <f t="shared" si="222"/>
        <v>15000</v>
      </c>
      <c r="AW220" s="581">
        <f t="shared" si="222"/>
        <v>696.84999999999991</v>
      </c>
      <c r="AX220" s="581">
        <f t="shared" si="222"/>
        <v>1169.47</v>
      </c>
      <c r="AY220" s="581">
        <f t="shared" si="222"/>
        <v>723.47</v>
      </c>
      <c r="AZ220" s="581">
        <f t="shared" si="222"/>
        <v>1781.2</v>
      </c>
      <c r="BA220" s="581">
        <f t="shared" si="222"/>
        <v>3262.9399999999996</v>
      </c>
      <c r="BB220" s="581">
        <f t="shared" si="222"/>
        <v>2213.1499999999996</v>
      </c>
      <c r="BC220" s="581">
        <f t="shared" si="222"/>
        <v>570.61</v>
      </c>
      <c r="BD220" s="581">
        <f t="shared" si="222"/>
        <v>6338.27</v>
      </c>
      <c r="BE220" s="581">
        <f t="shared" si="222"/>
        <v>737.86</v>
      </c>
      <c r="BF220" s="581">
        <f t="shared" si="222"/>
        <v>595.70000000000005</v>
      </c>
      <c r="BG220" s="581">
        <f t="shared" si="222"/>
        <v>65483.13</v>
      </c>
      <c r="BH220" s="581">
        <f t="shared" si="222"/>
        <v>1418.48</v>
      </c>
      <c r="BI220" s="581">
        <f t="shared" si="222"/>
        <v>1479.07</v>
      </c>
      <c r="BJ220" s="581">
        <f t="shared" si="222"/>
        <v>5869.78</v>
      </c>
      <c r="BK220" s="581">
        <f t="shared" si="222"/>
        <v>24472.25</v>
      </c>
      <c r="BL220" s="581">
        <f t="shared" si="222"/>
        <v>1961.8899999999999</v>
      </c>
      <c r="BM220" s="581">
        <f t="shared" si="222"/>
        <v>6074.829999999999</v>
      </c>
      <c r="BN220" s="581">
        <f t="shared" si="222"/>
        <v>1710.68</v>
      </c>
      <c r="BO220" s="581">
        <f t="shared" si="222"/>
        <v>2493.19</v>
      </c>
      <c r="BP220" s="581">
        <f t="shared" si="222"/>
        <v>0</v>
      </c>
      <c r="BQ220" s="581">
        <f t="shared" si="222"/>
        <v>5294.45</v>
      </c>
      <c r="BR220" s="581">
        <f t="shared" si="222"/>
        <v>9364.58</v>
      </c>
      <c r="BS220" s="581">
        <f t="shared" si="222"/>
        <v>13158.37</v>
      </c>
      <c r="BT220" s="581">
        <f t="shared" si="222"/>
        <v>6968.8100000000013</v>
      </c>
      <c r="BU220" s="581">
        <f t="shared" si="222"/>
        <v>1261550.1100000001</v>
      </c>
      <c r="BV220" s="581">
        <f t="shared" si="222"/>
        <v>499437.16</v>
      </c>
      <c r="BW220" s="582">
        <f t="shared" si="222"/>
        <v>1168822.27</v>
      </c>
      <c r="BX220" s="644">
        <f t="shared" si="220"/>
        <v>0.66373331871574226</v>
      </c>
    </row>
    <row r="221" spans="29:76" s="8" customFormat="1" ht="15.75" hidden="1" customHeight="1">
      <c r="AD221" s="698" t="s">
        <v>1074</v>
      </c>
      <c r="AE221" s="699"/>
      <c r="AF221" s="699"/>
      <c r="AG221" s="700"/>
      <c r="AH221" s="701">
        <v>416493</v>
      </c>
      <c r="AI221" s="701">
        <f>SUM(AK221:BU221)</f>
        <v>443471.22</v>
      </c>
      <c r="AJ221" s="701">
        <v>0</v>
      </c>
      <c r="AK221" s="701">
        <v>19513.669999999998</v>
      </c>
      <c r="AL221" s="701">
        <v>103164.67</v>
      </c>
      <c r="AM221" s="701">
        <v>57992.22</v>
      </c>
      <c r="AN221" s="701">
        <v>20568.439999999999</v>
      </c>
      <c r="AO221" s="701">
        <v>15907.22</v>
      </c>
      <c r="AP221" s="701">
        <v>7258.56</v>
      </c>
      <c r="AQ221" s="701">
        <v>444.44</v>
      </c>
      <c r="AR221" s="701">
        <v>1444.44</v>
      </c>
      <c r="AS221" s="701">
        <v>942.78</v>
      </c>
      <c r="AT221" s="701">
        <v>35045.11</v>
      </c>
      <c r="AU221" s="701">
        <v>2244.44</v>
      </c>
      <c r="AV221" s="701">
        <v>1666.67</v>
      </c>
      <c r="AW221" s="701">
        <v>0</v>
      </c>
      <c r="AX221" s="701">
        <v>0</v>
      </c>
      <c r="AY221" s="701">
        <v>0</v>
      </c>
      <c r="AZ221" s="701">
        <v>0</v>
      </c>
      <c r="BA221" s="701">
        <v>0</v>
      </c>
      <c r="BB221" s="701">
        <v>0</v>
      </c>
      <c r="BC221" s="701">
        <v>0</v>
      </c>
      <c r="BD221" s="701">
        <v>30959.56</v>
      </c>
      <c r="BE221" s="701">
        <v>0</v>
      </c>
      <c r="BF221" s="701">
        <v>0</v>
      </c>
      <c r="BG221" s="701">
        <v>0</v>
      </c>
      <c r="BH221" s="701">
        <v>0</v>
      </c>
      <c r="BI221" s="701">
        <v>0</v>
      </c>
      <c r="BJ221" s="701">
        <v>30218.44</v>
      </c>
      <c r="BK221" s="701">
        <v>116100.56</v>
      </c>
      <c r="BL221" s="701">
        <v>0</v>
      </c>
      <c r="BM221" s="701">
        <v>0</v>
      </c>
      <c r="BN221" s="701">
        <v>0</v>
      </c>
      <c r="BO221" s="701">
        <v>0</v>
      </c>
      <c r="BP221" s="701">
        <v>0</v>
      </c>
      <c r="BQ221" s="701">
        <v>0</v>
      </c>
      <c r="BR221" s="701">
        <v>0</v>
      </c>
      <c r="BS221" s="701">
        <v>0</v>
      </c>
      <c r="BT221" s="701">
        <v>0</v>
      </c>
      <c r="BU221" s="701">
        <v>0</v>
      </c>
      <c r="BV221" s="701">
        <f>SUM(AK221:BU221)-BU221</f>
        <v>443471.22</v>
      </c>
      <c r="BW221" s="702">
        <f>SUM(AI221-AH221)</f>
        <v>26978.219999999972</v>
      </c>
      <c r="BX221" s="644">
        <f t="shared" si="220"/>
        <v>6.083420700896891E-2</v>
      </c>
    </row>
    <row r="222" spans="29:76" ht="26.25" hidden="1" thickBot="1">
      <c r="AD222" s="661" t="s">
        <v>1075</v>
      </c>
      <c r="AE222" s="662"/>
      <c r="AF222" s="662"/>
      <c r="AG222" s="672"/>
      <c r="AH222" s="663">
        <f>SUM(AH220:AH221,AH197,AH185,AH176,AH164,AH153,AH142)+1</f>
        <v>7327185</v>
      </c>
      <c r="AI222" s="663">
        <f t="shared" ref="AI222:AR222" si="223">SUM(AI220,AI221,AI197,AI185,AI176,AI164,AI153,AI142)</f>
        <v>8996137.8699999992</v>
      </c>
      <c r="AJ222" s="663">
        <f t="shared" si="223"/>
        <v>515624.06450395164</v>
      </c>
      <c r="AK222" s="663">
        <f t="shared" si="223"/>
        <v>195136.46000000002</v>
      </c>
      <c r="AL222" s="663">
        <f t="shared" si="223"/>
        <v>1031646.5999999999</v>
      </c>
      <c r="AM222" s="663">
        <f t="shared" si="223"/>
        <v>579922.18999999994</v>
      </c>
      <c r="AN222" s="663">
        <f t="shared" si="223"/>
        <v>206684.43</v>
      </c>
      <c r="AO222" s="663">
        <f t="shared" si="223"/>
        <v>159072.22</v>
      </c>
      <c r="AP222" s="663">
        <f t="shared" si="223"/>
        <v>72585.539999999994</v>
      </c>
      <c r="AQ222" s="663">
        <f t="shared" si="223"/>
        <v>4444.43</v>
      </c>
      <c r="AR222" s="663">
        <f t="shared" si="223"/>
        <v>14444.439999999999</v>
      </c>
      <c r="AS222" s="663">
        <f>SUM(AS220,AS221,AS197,AS185,AS176,AS164,AS153,AS142)+1</f>
        <v>9427.51</v>
      </c>
      <c r="AT222" s="663">
        <f>SUM(AT220,AT221,AT197,AT185,AT176,AT164,AT153,AT142)</f>
        <v>367451.1399999999</v>
      </c>
      <c r="AU222" s="663">
        <f>SUM(AU220,AU221,AU197,AU185,AU176,AU164,AU153,AU142)-1</f>
        <v>22443.439999999999</v>
      </c>
      <c r="AV222" s="663">
        <f t="shared" ref="AV222:BI222" si="224">SUM(AV220,AV221,AV197,AV185,AV176,AV164,AV153,AV142)</f>
        <v>16666.669999999998</v>
      </c>
      <c r="AW222" s="663">
        <f t="shared" si="224"/>
        <v>9964.01</v>
      </c>
      <c r="AX222" s="663">
        <f t="shared" si="224"/>
        <v>10155</v>
      </c>
      <c r="AY222" s="663">
        <f t="shared" si="224"/>
        <v>10862.99</v>
      </c>
      <c r="AZ222" s="663">
        <f t="shared" si="224"/>
        <v>17560.8</v>
      </c>
      <c r="BA222" s="663">
        <f t="shared" si="224"/>
        <v>15163.980000000001</v>
      </c>
      <c r="BB222" s="663">
        <f t="shared" si="224"/>
        <v>70178.81</v>
      </c>
      <c r="BC222" s="663">
        <f t="shared" si="224"/>
        <v>21267.9</v>
      </c>
      <c r="BD222" s="663">
        <f t="shared" si="224"/>
        <v>309595.58</v>
      </c>
      <c r="BE222" s="663">
        <f t="shared" si="224"/>
        <v>33791.990000000005</v>
      </c>
      <c r="BF222" s="663">
        <f t="shared" si="224"/>
        <v>28700.22</v>
      </c>
      <c r="BG222" s="663">
        <f t="shared" si="224"/>
        <v>105121.93999999997</v>
      </c>
      <c r="BH222" s="663">
        <f t="shared" si="224"/>
        <v>65255.990000000005</v>
      </c>
      <c r="BI222" s="663">
        <f t="shared" si="224"/>
        <v>68070.989999999991</v>
      </c>
      <c r="BJ222" s="663">
        <f>SUM(BJ220,BJ221,BJ197,BJ185,BJ176,BJ164,BJ153,BJ142)+1</f>
        <v>302185.48</v>
      </c>
      <c r="BK222" s="663">
        <f>SUM(BK220,BK221,BK197,BK185,BK176,BK164,BK153,BK142)-1</f>
        <v>1161004.44</v>
      </c>
      <c r="BL222" s="663">
        <f t="shared" ref="BL222:BU222" si="225">SUM(BL220,BL221,BL197,BL185,BL176,BL164,BL153,BL142)</f>
        <v>89750</v>
      </c>
      <c r="BM222" s="663">
        <f t="shared" si="225"/>
        <v>285460</v>
      </c>
      <c r="BN222" s="663">
        <f t="shared" si="225"/>
        <v>78002.05</v>
      </c>
      <c r="BO222" s="663">
        <f t="shared" si="225"/>
        <v>118294.06</v>
      </c>
      <c r="BP222" s="663">
        <f t="shared" si="225"/>
        <v>0</v>
      </c>
      <c r="BQ222" s="663">
        <f t="shared" si="225"/>
        <v>193365.03999999998</v>
      </c>
      <c r="BR222" s="663">
        <f t="shared" si="225"/>
        <v>410394.92999999993</v>
      </c>
      <c r="BS222" s="663">
        <f t="shared" si="225"/>
        <v>349833.94999999995</v>
      </c>
      <c r="BT222" s="663">
        <f t="shared" si="225"/>
        <v>320198.11</v>
      </c>
      <c r="BU222" s="663">
        <f t="shared" si="225"/>
        <v>2242034.54</v>
      </c>
      <c r="BV222" s="663">
        <f>SUM(BV220,BV221,BV197,BV185,BV176,BV164,BV153,BV142)-4</f>
        <v>6754103.3300000019</v>
      </c>
      <c r="BW222" s="663">
        <f>SUM(BW220,BW221,BW197,BW185,BW176,BW164,BW153,BW142)</f>
        <v>1668953.8700000003</v>
      </c>
      <c r="BX222" s="679">
        <f t="shared" si="220"/>
        <v>0.1855188186438943</v>
      </c>
    </row>
    <row r="223" spans="29:76" ht="15.75" hidden="1">
      <c r="AD223" s="919" t="s">
        <v>1076</v>
      </c>
      <c r="AE223" s="919"/>
      <c r="AF223" s="919"/>
      <c r="AG223" s="919"/>
      <c r="AH223" s="919"/>
      <c r="AI223" s="919"/>
      <c r="AJ223" s="919"/>
      <c r="AK223" s="919"/>
      <c r="AL223" s="919"/>
      <c r="AM223" s="919"/>
      <c r="AN223" s="919"/>
      <c r="AO223" s="919"/>
      <c r="AP223" s="919"/>
      <c r="AQ223" s="919"/>
      <c r="AR223" s="919"/>
      <c r="AS223" s="919"/>
      <c r="AT223" s="919"/>
      <c r="AU223" s="919"/>
      <c r="AV223" s="919"/>
      <c r="AW223" s="919"/>
      <c r="AX223" s="919"/>
      <c r="AY223" s="919"/>
      <c r="AZ223" s="919"/>
      <c r="BA223" s="919"/>
      <c r="BB223" s="919"/>
      <c r="BC223" s="919"/>
      <c r="BD223" s="919"/>
      <c r="BE223" s="919"/>
      <c r="BF223" s="919"/>
      <c r="BG223" s="919"/>
      <c r="BH223" s="919"/>
      <c r="BI223" s="919"/>
      <c r="BJ223" s="919"/>
      <c r="BK223" s="919"/>
      <c r="BL223" s="919"/>
      <c r="BM223" s="919"/>
      <c r="BN223" s="919"/>
      <c r="BO223" s="919"/>
      <c r="BP223" s="919"/>
      <c r="BQ223" s="919"/>
      <c r="BR223" s="919"/>
      <c r="BS223" s="919"/>
      <c r="BT223" s="8"/>
      <c r="BU223" s="8"/>
      <c r="BV223" s="8"/>
      <c r="BW223" s="8"/>
      <c r="BX223" s="8"/>
    </row>
    <row r="225" spans="29:76" ht="15.75">
      <c r="AD225" s="22"/>
      <c r="AE225" s="22"/>
      <c r="AF225" s="22"/>
      <c r="AG225" s="22"/>
      <c r="AH225" s="22"/>
      <c r="AI225" s="22"/>
      <c r="AJ225" s="22"/>
      <c r="AK225" s="22"/>
      <c r="AL225" s="94"/>
      <c r="AM225" s="22"/>
      <c r="AN225" s="94"/>
      <c r="AO225" s="94"/>
      <c r="AP225" s="94"/>
      <c r="AQ225" s="94"/>
      <c r="AR225" s="94"/>
      <c r="AS225" s="94"/>
      <c r="AT225" s="94"/>
      <c r="AU225" s="94"/>
      <c r="AV225" s="94"/>
      <c r="AW225" s="94"/>
      <c r="AX225" s="94"/>
      <c r="AY225" s="94"/>
      <c r="AZ225" s="94"/>
      <c r="BA225" s="94"/>
      <c r="BB225" s="94"/>
      <c r="BC225" s="94"/>
      <c r="BD225" s="94"/>
      <c r="BI225" s="94"/>
      <c r="BJ225" s="94"/>
      <c r="BK225" s="94"/>
      <c r="BN225" s="22"/>
      <c r="BO225" s="94"/>
      <c r="BP225" s="94"/>
      <c r="BQ225" s="22"/>
      <c r="BR225" s="22"/>
      <c r="BS225" s="22"/>
    </row>
    <row r="226" spans="29:76" ht="15" thickBot="1">
      <c r="AD226" s="269" t="s">
        <v>1077</v>
      </c>
      <c r="AE226" s="269"/>
      <c r="AF226" s="269"/>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c r="BP226" s="95"/>
      <c r="BQ226" s="347"/>
      <c r="BR226" s="347"/>
      <c r="BS226" s="347"/>
    </row>
    <row r="227" spans="29:76" ht="25.5">
      <c r="AD227" s="648"/>
      <c r="AE227" s="649"/>
      <c r="AF227" s="649"/>
      <c r="AG227" s="703"/>
      <c r="AH227" s="650" t="s">
        <v>616</v>
      </c>
      <c r="AI227" s="650" t="s">
        <v>616</v>
      </c>
      <c r="AJ227" s="651" t="s">
        <v>692</v>
      </c>
      <c r="AK227" s="650" t="s">
        <v>31</v>
      </c>
      <c r="AL227" s="650" t="s">
        <v>693</v>
      </c>
      <c r="AM227" s="650" t="s">
        <v>31</v>
      </c>
      <c r="AN227" s="651" t="s">
        <v>690</v>
      </c>
      <c r="AO227" s="651" t="s">
        <v>690</v>
      </c>
      <c r="AP227" s="651" t="s">
        <v>690</v>
      </c>
      <c r="AQ227" s="651" t="s">
        <v>690</v>
      </c>
      <c r="AR227" s="651" t="s">
        <v>690</v>
      </c>
      <c r="AS227" s="651" t="s">
        <v>690</v>
      </c>
      <c r="AT227" s="651" t="s">
        <v>690</v>
      </c>
      <c r="AU227" s="651" t="s">
        <v>690</v>
      </c>
      <c r="AV227" s="651" t="s">
        <v>690</v>
      </c>
      <c r="AW227" s="650" t="s">
        <v>31</v>
      </c>
      <c r="AX227" s="651" t="s">
        <v>690</v>
      </c>
      <c r="AY227" s="651" t="s">
        <v>690</v>
      </c>
      <c r="AZ227" s="651" t="s">
        <v>690</v>
      </c>
      <c r="BA227" s="651" t="s">
        <v>690</v>
      </c>
      <c r="BB227" s="651" t="s">
        <v>690</v>
      </c>
      <c r="BC227" s="650" t="s">
        <v>31</v>
      </c>
      <c r="BD227" s="650" t="s">
        <v>31</v>
      </c>
      <c r="BE227" s="650" t="s">
        <v>379</v>
      </c>
      <c r="BF227" s="650" t="s">
        <v>379</v>
      </c>
      <c r="BG227" s="651" t="s">
        <v>379</v>
      </c>
      <c r="BH227" s="650" t="s">
        <v>694</v>
      </c>
      <c r="BI227" s="652" t="s">
        <v>302</v>
      </c>
      <c r="BJ227" s="652" t="s">
        <v>302</v>
      </c>
      <c r="BK227" s="652" t="s">
        <v>302</v>
      </c>
      <c r="BL227" s="650" t="s">
        <v>126</v>
      </c>
      <c r="BM227" s="651" t="s">
        <v>126</v>
      </c>
      <c r="BN227" s="652" t="s">
        <v>350</v>
      </c>
      <c r="BO227" s="650" t="s">
        <v>78</v>
      </c>
      <c r="BP227" s="652" t="s">
        <v>78</v>
      </c>
      <c r="BQ227" s="654" t="s">
        <v>695</v>
      </c>
      <c r="BR227" s="650" t="s">
        <v>1078</v>
      </c>
      <c r="BS227" s="650" t="s">
        <v>71</v>
      </c>
      <c r="BT227" s="652" t="s">
        <v>697</v>
      </c>
      <c r="BU227" s="650" t="s">
        <v>674</v>
      </c>
      <c r="BV227" s="650" t="s">
        <v>1003</v>
      </c>
      <c r="BW227" s="655" t="s">
        <v>616</v>
      </c>
      <c r="BX227" s="856" t="s">
        <v>698</v>
      </c>
    </row>
    <row r="228" spans="29:76">
      <c r="AD228" s="666"/>
      <c r="AG228" s="108"/>
      <c r="AH228" s="96" t="s">
        <v>707</v>
      </c>
      <c r="AI228" s="96" t="s">
        <v>707</v>
      </c>
      <c r="AJ228" s="169" t="s">
        <v>708</v>
      </c>
      <c r="AK228" s="96" t="s">
        <v>36</v>
      </c>
      <c r="AL228" s="96" t="s">
        <v>30</v>
      </c>
      <c r="AM228" s="96" t="s">
        <v>36</v>
      </c>
      <c r="AN228" s="169" t="s">
        <v>36</v>
      </c>
      <c r="AO228" s="169" t="s">
        <v>36</v>
      </c>
      <c r="AP228" s="169" t="s">
        <v>709</v>
      </c>
      <c r="AQ228" s="169" t="s">
        <v>36</v>
      </c>
      <c r="AR228" s="169" t="s">
        <v>36</v>
      </c>
      <c r="AS228" s="169" t="s">
        <v>709</v>
      </c>
      <c r="AT228" s="169" t="s">
        <v>36</v>
      </c>
      <c r="AU228" s="169" t="s">
        <v>36</v>
      </c>
      <c r="AV228" s="169" t="s">
        <v>36</v>
      </c>
      <c r="AW228" s="96" t="s">
        <v>40</v>
      </c>
      <c r="AX228" s="169" t="s">
        <v>40</v>
      </c>
      <c r="AY228" s="169" t="s">
        <v>40</v>
      </c>
      <c r="AZ228" s="169" t="s">
        <v>40</v>
      </c>
      <c r="BA228" s="169" t="s">
        <v>40</v>
      </c>
      <c r="BB228" s="169" t="s">
        <v>40</v>
      </c>
      <c r="BC228" s="96" t="s">
        <v>43</v>
      </c>
      <c r="BD228" s="96" t="s">
        <v>41</v>
      </c>
      <c r="BE228" s="96" t="s">
        <v>35</v>
      </c>
      <c r="BF228" s="96" t="s">
        <v>158</v>
      </c>
      <c r="BG228" s="169" t="s">
        <v>753</v>
      </c>
      <c r="BH228" s="96" t="s">
        <v>738</v>
      </c>
      <c r="BI228" s="96" t="s">
        <v>35</v>
      </c>
      <c r="BJ228" s="96" t="s">
        <v>738</v>
      </c>
      <c r="BK228" s="96" t="s">
        <v>739</v>
      </c>
      <c r="BL228" s="96" t="s">
        <v>35</v>
      </c>
      <c r="BM228" s="169" t="s">
        <v>739</v>
      </c>
      <c r="BN228" s="96" t="s">
        <v>35</v>
      </c>
      <c r="BO228" s="96" t="s">
        <v>35</v>
      </c>
      <c r="BP228" s="96" t="s">
        <v>740</v>
      </c>
      <c r="BQ228" s="97" t="s">
        <v>710</v>
      </c>
      <c r="BR228" s="96" t="s">
        <v>711</v>
      </c>
      <c r="BS228" s="96"/>
      <c r="BT228" s="96" t="s">
        <v>712</v>
      </c>
      <c r="BU228" s="96" t="s">
        <v>713</v>
      </c>
      <c r="BV228" s="96" t="s">
        <v>1004</v>
      </c>
      <c r="BW228" s="266" t="s">
        <v>707</v>
      </c>
      <c r="BX228" s="857" t="s">
        <v>707</v>
      </c>
    </row>
    <row r="229" spans="29:76" ht="76.5">
      <c r="AD229" s="667"/>
      <c r="AE229" s="668"/>
      <c r="AF229" s="668"/>
      <c r="AG229" s="106"/>
      <c r="AH229" s="98" t="s">
        <v>734</v>
      </c>
      <c r="AI229" s="99" t="s">
        <v>735</v>
      </c>
      <c r="AJ229" s="172" t="s">
        <v>736</v>
      </c>
      <c r="AK229" s="98" t="s">
        <v>737</v>
      </c>
      <c r="AL229" s="98" t="s">
        <v>35</v>
      </c>
      <c r="AM229" s="98" t="s">
        <v>738</v>
      </c>
      <c r="AN229" s="171" t="s">
        <v>158</v>
      </c>
      <c r="AO229" s="171" t="s">
        <v>739</v>
      </c>
      <c r="AP229" s="172" t="s">
        <v>740</v>
      </c>
      <c r="AQ229" s="172" t="s">
        <v>741</v>
      </c>
      <c r="AR229" s="172" t="s">
        <v>742</v>
      </c>
      <c r="AS229" s="172" t="s">
        <v>743</v>
      </c>
      <c r="AT229" s="171" t="s">
        <v>744</v>
      </c>
      <c r="AU229" s="99" t="s">
        <v>1018</v>
      </c>
      <c r="AV229" s="99" t="s">
        <v>746</v>
      </c>
      <c r="AW229" s="99" t="str">
        <f>AW134</f>
        <v xml:space="preserve">DIABETES SELF MANAGEMENT </v>
      </c>
      <c r="AX229" s="172" t="s">
        <v>748</v>
      </c>
      <c r="AY229" s="172" t="s">
        <v>749</v>
      </c>
      <c r="AZ229" s="172" t="s">
        <v>750</v>
      </c>
      <c r="BA229" s="172" t="s">
        <v>751</v>
      </c>
      <c r="BB229" s="172" t="s">
        <v>752</v>
      </c>
      <c r="BC229" s="98"/>
      <c r="BD229" s="98"/>
      <c r="BE229" s="98"/>
      <c r="BF229" s="98"/>
      <c r="BG229" s="98"/>
      <c r="BH229" s="98"/>
      <c r="BI229" s="99"/>
      <c r="BJ229" s="99"/>
      <c r="BK229" s="99"/>
      <c r="BL229" s="98"/>
      <c r="BM229" s="98"/>
      <c r="BN229" s="99"/>
      <c r="BO229" s="99"/>
      <c r="BP229" s="99"/>
      <c r="BQ229" s="100" t="s">
        <v>754</v>
      </c>
      <c r="BR229" s="98"/>
      <c r="BS229" s="98"/>
      <c r="BT229" s="172" t="s">
        <v>755</v>
      </c>
      <c r="BU229" s="98" t="s">
        <v>756</v>
      </c>
      <c r="BV229" s="98" t="s">
        <v>620</v>
      </c>
      <c r="BW229" s="268" t="s">
        <v>758</v>
      </c>
      <c r="BX229" s="858" t="s">
        <v>758</v>
      </c>
    </row>
    <row r="230" spans="29:76" ht="12.75" customHeight="1">
      <c r="AC230" s="5">
        <v>41000</v>
      </c>
      <c r="AD230" s="667" t="s">
        <v>1079</v>
      </c>
      <c r="AE230" s="668"/>
      <c r="AF230" s="668"/>
      <c r="AG230" s="106"/>
      <c r="AH230" s="580">
        <v>4584264</v>
      </c>
      <c r="AI230" s="580">
        <f t="shared" ref="AI230:AI233" si="226">SUM(AK230:BU230)</f>
        <v>5450476.040000001</v>
      </c>
      <c r="AJ230" s="580">
        <v>0</v>
      </c>
      <c r="AK230" s="580">
        <v>175623</v>
      </c>
      <c r="AL230" s="580">
        <v>900792</v>
      </c>
      <c r="AM230" s="580">
        <v>521930</v>
      </c>
      <c r="AN230" s="580">
        <v>185116</v>
      </c>
      <c r="AO230" s="580">
        <v>143165</v>
      </c>
      <c r="AP230" s="580">
        <v>65327</v>
      </c>
      <c r="AQ230" s="580">
        <v>4000</v>
      </c>
      <c r="AR230" s="580">
        <v>13000</v>
      </c>
      <c r="AS230" s="580">
        <v>8485</v>
      </c>
      <c r="AT230" s="580">
        <v>315406</v>
      </c>
      <c r="AU230" s="580">
        <v>20200</v>
      </c>
      <c r="AV230" s="580">
        <v>15000</v>
      </c>
      <c r="AW230" s="580">
        <v>9964</v>
      </c>
      <c r="AX230" s="580">
        <v>10155</v>
      </c>
      <c r="AY230" s="580">
        <v>10863</v>
      </c>
      <c r="AZ230" s="580">
        <v>17560.8</v>
      </c>
      <c r="BA230" s="580">
        <v>15164</v>
      </c>
      <c r="BB230" s="580">
        <v>70179.199999999997</v>
      </c>
      <c r="BC230" s="580">
        <v>21266.91</v>
      </c>
      <c r="BD230" s="580">
        <v>278636</v>
      </c>
      <c r="BE230" s="580">
        <v>0</v>
      </c>
      <c r="BF230" s="580">
        <v>0</v>
      </c>
      <c r="BG230" s="580">
        <v>0</v>
      </c>
      <c r="BH230" s="580">
        <v>0</v>
      </c>
      <c r="BI230" s="580">
        <v>0</v>
      </c>
      <c r="BJ230" s="580">
        <v>0</v>
      </c>
      <c r="BK230" s="580">
        <v>0</v>
      </c>
      <c r="BL230" s="580">
        <v>0</v>
      </c>
      <c r="BM230" s="580">
        <v>0</v>
      </c>
      <c r="BN230" s="580">
        <v>0</v>
      </c>
      <c r="BO230" s="580">
        <f>50338+67956</f>
        <v>118294</v>
      </c>
      <c r="BP230" s="640">
        <v>0</v>
      </c>
      <c r="BQ230" s="580">
        <v>96682.37</v>
      </c>
      <c r="BR230" s="580">
        <v>205197.63</v>
      </c>
      <c r="BS230" s="580">
        <v>349833.99</v>
      </c>
      <c r="BT230" s="580">
        <f>196500+123698.14</f>
        <v>320198.14</v>
      </c>
      <c r="BU230" s="580">
        <f>1529928+28509</f>
        <v>1558437</v>
      </c>
      <c r="BV230" s="581">
        <f>SUM(AK230:BU230)-BU230</f>
        <v>3892039.040000001</v>
      </c>
      <c r="BW230" s="643">
        <f t="shared" ref="BW230:BW233" si="227">SUM(AI230-AH230)</f>
        <v>866212.04000000097</v>
      </c>
      <c r="BX230" s="859">
        <f>100%-(AH230/AI230)</f>
        <v>0.15892410748034425</v>
      </c>
    </row>
    <row r="231" spans="29:76">
      <c r="AC231" s="5">
        <v>42000</v>
      </c>
      <c r="AD231" s="907" t="s">
        <v>1080</v>
      </c>
      <c r="AE231" s="908"/>
      <c r="AF231" s="908"/>
      <c r="AG231" s="909"/>
      <c r="AH231" s="580">
        <v>1888536</v>
      </c>
      <c r="AI231" s="580">
        <f t="shared" si="226"/>
        <v>2167724</v>
      </c>
      <c r="AJ231" s="580">
        <v>0</v>
      </c>
      <c r="AK231" s="580">
        <v>0</v>
      </c>
      <c r="AL231" s="580">
        <v>27690</v>
      </c>
      <c r="AM231" s="580">
        <v>0</v>
      </c>
      <c r="AN231" s="580">
        <v>0</v>
      </c>
      <c r="AO231" s="580">
        <v>0</v>
      </c>
      <c r="AP231" s="580">
        <v>0</v>
      </c>
      <c r="AQ231" s="580">
        <v>0</v>
      </c>
      <c r="AR231" s="580">
        <v>0</v>
      </c>
      <c r="AS231" s="580">
        <v>0</v>
      </c>
      <c r="AT231" s="580">
        <v>0</v>
      </c>
      <c r="AU231" s="580">
        <v>0</v>
      </c>
      <c r="AV231" s="580">
        <v>0</v>
      </c>
      <c r="AW231" s="580">
        <v>0</v>
      </c>
      <c r="AX231" s="580">
        <v>0</v>
      </c>
      <c r="AY231" s="580">
        <v>0</v>
      </c>
      <c r="AZ231" s="580">
        <v>0</v>
      </c>
      <c r="BA231" s="580">
        <v>0</v>
      </c>
      <c r="BB231" s="580">
        <v>0</v>
      </c>
      <c r="BC231" s="580">
        <v>0</v>
      </c>
      <c r="BD231" s="580">
        <v>0</v>
      </c>
      <c r="BE231" s="580">
        <v>0</v>
      </c>
      <c r="BF231" s="580">
        <v>0</v>
      </c>
      <c r="BG231" s="580">
        <v>0</v>
      </c>
      <c r="BH231" s="580">
        <v>0</v>
      </c>
      <c r="BI231" s="580">
        <v>68071</v>
      </c>
      <c r="BJ231" s="580">
        <v>271966</v>
      </c>
      <c r="BK231" s="580">
        <v>1044905</v>
      </c>
      <c r="BL231" s="580">
        <v>89750</v>
      </c>
      <c r="BM231" s="580">
        <v>285460</v>
      </c>
      <c r="BN231" s="580">
        <v>78002</v>
      </c>
      <c r="BO231" s="580">
        <v>0</v>
      </c>
      <c r="BP231" s="640">
        <v>0</v>
      </c>
      <c r="BQ231" s="580">
        <v>96682.37</v>
      </c>
      <c r="BR231" s="580">
        <v>205197.63</v>
      </c>
      <c r="BS231" s="580">
        <v>0</v>
      </c>
      <c r="BT231" s="580">
        <v>0</v>
      </c>
      <c r="BU231" s="580">
        <v>0</v>
      </c>
      <c r="BV231" s="581">
        <f>SUM(AK231:BU231)-BU231</f>
        <v>2167724</v>
      </c>
      <c r="BW231" s="643">
        <f t="shared" si="227"/>
        <v>279188</v>
      </c>
      <c r="BX231" s="859">
        <f t="shared" ref="BX231:BX234" si="228">100%-(AH231/AI231)</f>
        <v>0.12879314894331562</v>
      </c>
    </row>
    <row r="232" spans="29:76">
      <c r="AC232" s="675" t="s">
        <v>1081</v>
      </c>
      <c r="AD232" s="683" t="s">
        <v>1082</v>
      </c>
      <c r="AE232" s="684"/>
      <c r="AF232" s="684"/>
      <c r="AG232" s="107"/>
      <c r="AH232" s="580">
        <v>437892</v>
      </c>
      <c r="AI232" s="580">
        <f t="shared" si="226"/>
        <v>962976.27</v>
      </c>
      <c r="AJ232" s="580">
        <v>0</v>
      </c>
      <c r="AK232" s="580">
        <v>0</v>
      </c>
      <c r="AL232" s="580">
        <v>0</v>
      </c>
      <c r="AM232" s="580">
        <v>0</v>
      </c>
      <c r="AN232" s="580">
        <v>1000</v>
      </c>
      <c r="AO232" s="580">
        <v>0</v>
      </c>
      <c r="AP232" s="580">
        <v>0</v>
      </c>
      <c r="AQ232" s="580">
        <v>0</v>
      </c>
      <c r="AR232" s="580">
        <v>0</v>
      </c>
      <c r="AS232" s="580">
        <v>0</v>
      </c>
      <c r="AT232" s="580">
        <v>17000</v>
      </c>
      <c r="AU232" s="580">
        <v>0</v>
      </c>
      <c r="AV232" s="580">
        <v>0</v>
      </c>
      <c r="AW232" s="580">
        <v>0</v>
      </c>
      <c r="AX232" s="580">
        <v>0</v>
      </c>
      <c r="AY232" s="580">
        <v>0</v>
      </c>
      <c r="AZ232" s="580">
        <v>0</v>
      </c>
      <c r="BA232" s="580">
        <v>0</v>
      </c>
      <c r="BB232" s="580">
        <v>0</v>
      </c>
      <c r="BC232" s="580">
        <v>0</v>
      </c>
      <c r="BD232" s="580">
        <v>0</v>
      </c>
      <c r="BE232" s="580">
        <v>33792</v>
      </c>
      <c r="BF232" s="580">
        <v>28700</v>
      </c>
      <c r="BG232" s="580">
        <v>105122</v>
      </c>
      <c r="BH232" s="580">
        <v>65256</v>
      </c>
      <c r="BI232" s="580">
        <v>0</v>
      </c>
      <c r="BJ232" s="580">
        <v>0</v>
      </c>
      <c r="BK232" s="580">
        <v>0</v>
      </c>
      <c r="BL232" s="580">
        <v>0</v>
      </c>
      <c r="BM232" s="580">
        <v>0</v>
      </c>
      <c r="BN232" s="580">
        <v>0</v>
      </c>
      <c r="BO232" s="580">
        <v>0</v>
      </c>
      <c r="BP232" s="640">
        <v>0</v>
      </c>
      <c r="BQ232" s="580">
        <v>0</v>
      </c>
      <c r="BR232" s="580">
        <v>0</v>
      </c>
      <c r="BS232" s="580">
        <v>0</v>
      </c>
      <c r="BT232" s="580">
        <v>0</v>
      </c>
      <c r="BU232" s="580">
        <f>137106.27+330000+150000+95000</f>
        <v>712106.27</v>
      </c>
      <c r="BV232" s="581">
        <f>SUM(AK232:BU232)-BU232</f>
        <v>250870</v>
      </c>
      <c r="BW232" s="643">
        <f t="shared" si="227"/>
        <v>525084.27</v>
      </c>
      <c r="BX232" s="859">
        <f t="shared" si="228"/>
        <v>0.54527228381235182</v>
      </c>
    </row>
    <row r="233" spans="29:76">
      <c r="AC233" s="5">
        <v>44999</v>
      </c>
      <c r="AD233" s="683" t="s">
        <v>1083</v>
      </c>
      <c r="AE233" s="684"/>
      <c r="AF233" s="684"/>
      <c r="AG233" s="107"/>
      <c r="AH233" s="580">
        <v>416493</v>
      </c>
      <c r="AI233" s="580">
        <f t="shared" si="226"/>
        <v>443471.22</v>
      </c>
      <c r="AJ233" s="580">
        <v>0</v>
      </c>
      <c r="AK233" s="580">
        <v>19513.669999999998</v>
      </c>
      <c r="AL233" s="580">
        <v>103164.67</v>
      </c>
      <c r="AM233" s="580">
        <v>57992.22</v>
      </c>
      <c r="AN233" s="580">
        <v>20568.439999999999</v>
      </c>
      <c r="AO233" s="580">
        <v>15907.22</v>
      </c>
      <c r="AP233" s="580">
        <v>7258.56</v>
      </c>
      <c r="AQ233" s="580">
        <v>444.44</v>
      </c>
      <c r="AR233" s="580">
        <v>1444.44</v>
      </c>
      <c r="AS233" s="580">
        <v>942.78</v>
      </c>
      <c r="AT233" s="580">
        <v>35045.11</v>
      </c>
      <c r="AU233" s="580">
        <v>2244.44</v>
      </c>
      <c r="AV233" s="580">
        <v>1666.67</v>
      </c>
      <c r="AW233" s="580">
        <v>0</v>
      </c>
      <c r="AX233" s="580">
        <v>0</v>
      </c>
      <c r="AY233" s="580">
        <v>0</v>
      </c>
      <c r="AZ233" s="580">
        <v>0</v>
      </c>
      <c r="BA233" s="580">
        <v>0</v>
      </c>
      <c r="BB233" s="580">
        <v>0</v>
      </c>
      <c r="BC233" s="580">
        <v>0</v>
      </c>
      <c r="BD233" s="580">
        <v>30959.56</v>
      </c>
      <c r="BE233" s="580">
        <v>0</v>
      </c>
      <c r="BF233" s="580">
        <v>0</v>
      </c>
      <c r="BG233" s="580">
        <v>0</v>
      </c>
      <c r="BH233" s="580">
        <v>0</v>
      </c>
      <c r="BI233" s="580">
        <v>0</v>
      </c>
      <c r="BJ233" s="580">
        <v>30218.44</v>
      </c>
      <c r="BK233" s="580">
        <v>116100.56</v>
      </c>
      <c r="BL233" s="580">
        <v>0</v>
      </c>
      <c r="BM233" s="580">
        <v>0</v>
      </c>
      <c r="BN233" s="580">
        <v>0</v>
      </c>
      <c r="BO233" s="580">
        <v>0</v>
      </c>
      <c r="BP233" s="640">
        <v>0</v>
      </c>
      <c r="BQ233" s="580">
        <v>0</v>
      </c>
      <c r="BR233" s="580">
        <v>0</v>
      </c>
      <c r="BS233" s="580">
        <v>0</v>
      </c>
      <c r="BT233" s="580">
        <v>0</v>
      </c>
      <c r="BU233" s="580">
        <v>0</v>
      </c>
      <c r="BV233" s="581">
        <f>SUM(AK233:BU233)-BU233</f>
        <v>443471.22</v>
      </c>
      <c r="BW233" s="643">
        <f t="shared" si="227"/>
        <v>26978.219999999972</v>
      </c>
      <c r="BX233" s="859">
        <f t="shared" si="228"/>
        <v>6.083420700896891E-2</v>
      </c>
    </row>
    <row r="234" spans="29:76" customFormat="1" ht="13.5" thickBot="1">
      <c r="AD234" s="704" t="s">
        <v>1084</v>
      </c>
      <c r="AE234" s="705"/>
      <c r="AF234" s="705"/>
      <c r="AG234" s="706"/>
      <c r="AH234" s="707">
        <f>SUM(AH230:AH233)</f>
        <v>7327185</v>
      </c>
      <c r="AI234" s="707">
        <f t="shared" ref="AI234:BV234" si="229">SUM(AI230:AI233)</f>
        <v>9024647.5300000012</v>
      </c>
      <c r="AJ234" s="707">
        <f t="shared" si="229"/>
        <v>0</v>
      </c>
      <c r="AK234" s="707">
        <f t="shared" si="229"/>
        <v>195136.66999999998</v>
      </c>
      <c r="AL234" s="707">
        <f t="shared" si="229"/>
        <v>1031646.67</v>
      </c>
      <c r="AM234" s="707">
        <f t="shared" si="229"/>
        <v>579922.22</v>
      </c>
      <c r="AN234" s="707">
        <f t="shared" si="229"/>
        <v>206684.44</v>
      </c>
      <c r="AO234" s="707">
        <f t="shared" si="229"/>
        <v>159072.22</v>
      </c>
      <c r="AP234" s="707">
        <f t="shared" si="229"/>
        <v>72585.56</v>
      </c>
      <c r="AQ234" s="707">
        <f t="shared" si="229"/>
        <v>4444.4399999999996</v>
      </c>
      <c r="AR234" s="707">
        <f t="shared" si="229"/>
        <v>14444.44</v>
      </c>
      <c r="AS234" s="707">
        <f t="shared" si="229"/>
        <v>9427.7800000000007</v>
      </c>
      <c r="AT234" s="707">
        <f t="shared" si="229"/>
        <v>367451.11</v>
      </c>
      <c r="AU234" s="707">
        <f t="shared" si="229"/>
        <v>22444.44</v>
      </c>
      <c r="AV234" s="707">
        <f t="shared" si="229"/>
        <v>16666.669999999998</v>
      </c>
      <c r="AW234" s="707">
        <f t="shared" si="229"/>
        <v>9964</v>
      </c>
      <c r="AX234" s="707">
        <f t="shared" si="229"/>
        <v>10155</v>
      </c>
      <c r="AY234" s="707">
        <f t="shared" si="229"/>
        <v>10863</v>
      </c>
      <c r="AZ234" s="707">
        <f t="shared" si="229"/>
        <v>17560.8</v>
      </c>
      <c r="BA234" s="707">
        <f t="shared" si="229"/>
        <v>15164</v>
      </c>
      <c r="BB234" s="707">
        <f t="shared" si="229"/>
        <v>70179.199999999997</v>
      </c>
      <c r="BC234" s="707">
        <f t="shared" si="229"/>
        <v>21266.91</v>
      </c>
      <c r="BD234" s="707">
        <f t="shared" si="229"/>
        <v>309595.56</v>
      </c>
      <c r="BE234" s="707">
        <f t="shared" si="229"/>
        <v>33792</v>
      </c>
      <c r="BF234" s="707">
        <f t="shared" si="229"/>
        <v>28700</v>
      </c>
      <c r="BG234" s="707">
        <f t="shared" si="229"/>
        <v>105122</v>
      </c>
      <c r="BH234" s="707">
        <f t="shared" si="229"/>
        <v>65256</v>
      </c>
      <c r="BI234" s="707">
        <f t="shared" si="229"/>
        <v>68071</v>
      </c>
      <c r="BJ234" s="707">
        <f t="shared" si="229"/>
        <v>302184.44</v>
      </c>
      <c r="BK234" s="707">
        <f t="shared" si="229"/>
        <v>1161005.56</v>
      </c>
      <c r="BL234" s="707">
        <f t="shared" si="229"/>
        <v>89750</v>
      </c>
      <c r="BM234" s="707">
        <f t="shared" si="229"/>
        <v>285460</v>
      </c>
      <c r="BN234" s="707">
        <f t="shared" si="229"/>
        <v>78002</v>
      </c>
      <c r="BO234" s="707">
        <f t="shared" si="229"/>
        <v>118294</v>
      </c>
      <c r="BP234" s="707">
        <f t="shared" si="229"/>
        <v>0</v>
      </c>
      <c r="BQ234" s="707">
        <f t="shared" si="229"/>
        <v>193364.74</v>
      </c>
      <c r="BR234" s="707">
        <f t="shared" si="229"/>
        <v>410395.26</v>
      </c>
      <c r="BS234" s="707">
        <f t="shared" si="229"/>
        <v>349833.99</v>
      </c>
      <c r="BT234" s="707">
        <f t="shared" si="229"/>
        <v>320198.14</v>
      </c>
      <c r="BU234" s="707">
        <f t="shared" si="229"/>
        <v>2270543.27</v>
      </c>
      <c r="BV234" s="707">
        <f t="shared" si="229"/>
        <v>6754104.2600000007</v>
      </c>
      <c r="BW234" s="708">
        <f>SUM(BW230:BW233)</f>
        <v>1697462.530000001</v>
      </c>
      <c r="BX234" s="860">
        <f t="shared" si="228"/>
        <v>0.18809183675675378</v>
      </c>
    </row>
    <row r="235" spans="29:76" ht="12.75" customHeight="1">
      <c r="AD235"/>
      <c r="AE235"/>
      <c r="AF235"/>
      <c r="AG235"/>
      <c r="AH235"/>
      <c r="AI235"/>
      <c r="AJ235"/>
      <c r="AK235"/>
      <c r="AL235"/>
      <c r="AM235"/>
      <c r="AN235"/>
      <c r="AO235"/>
      <c r="AP235"/>
      <c r="AQ235"/>
      <c r="AR235"/>
      <c r="AS235"/>
      <c r="AT235" s="709"/>
      <c r="AU235" s="709"/>
      <c r="AV235" s="709"/>
      <c r="AW235"/>
      <c r="AX235"/>
      <c r="AY235"/>
      <c r="AZ235"/>
      <c r="BA235"/>
      <c r="BB235"/>
      <c r="BC235"/>
      <c r="BD235"/>
      <c r="BE235"/>
      <c r="BF235"/>
      <c r="BG235" s="709"/>
      <c r="BH235"/>
      <c r="BI235"/>
      <c r="BJ235"/>
      <c r="BK235"/>
      <c r="BL235"/>
      <c r="BM235"/>
      <c r="BN235"/>
      <c r="BO235"/>
      <c r="BP235"/>
      <c r="BQ235"/>
      <c r="BR235"/>
      <c r="BS235"/>
      <c r="BT235"/>
      <c r="BU235"/>
      <c r="BV235"/>
      <c r="BW235"/>
      <c r="BX235"/>
    </row>
    <row r="236" spans="29:76" ht="12.75" customHeight="1" thickBot="1">
      <c r="AD236"/>
      <c r="AE236"/>
      <c r="AF236"/>
      <c r="AG236"/>
      <c r="AH236"/>
      <c r="AI236"/>
      <c r="AJ236"/>
      <c r="AK236"/>
      <c r="AL236" s="710"/>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row>
    <row r="237" spans="29:76" ht="12.75" customHeight="1">
      <c r="AD237" s="711" t="s">
        <v>1084</v>
      </c>
      <c r="AE237" s="712"/>
      <c r="AF237" s="712"/>
      <c r="AG237" s="713"/>
      <c r="AH237" s="714">
        <f>+AH234</f>
        <v>7327185</v>
      </c>
      <c r="AI237" s="714">
        <f>+AI234</f>
        <v>9024647.5300000012</v>
      </c>
      <c r="AJ237" s="714">
        <f t="shared" ref="AJ237:BV237" si="230">+AJ234</f>
        <v>0</v>
      </c>
      <c r="AK237" s="714">
        <f t="shared" si="230"/>
        <v>195136.66999999998</v>
      </c>
      <c r="AL237" s="714">
        <f t="shared" si="230"/>
        <v>1031646.67</v>
      </c>
      <c r="AM237" s="714">
        <f t="shared" si="230"/>
        <v>579922.22</v>
      </c>
      <c r="AN237" s="714">
        <f t="shared" si="230"/>
        <v>206684.44</v>
      </c>
      <c r="AO237" s="714">
        <f t="shared" si="230"/>
        <v>159072.22</v>
      </c>
      <c r="AP237" s="714">
        <f t="shared" si="230"/>
        <v>72585.56</v>
      </c>
      <c r="AQ237" s="714">
        <f t="shared" si="230"/>
        <v>4444.4399999999996</v>
      </c>
      <c r="AR237" s="714">
        <f t="shared" si="230"/>
        <v>14444.44</v>
      </c>
      <c r="AS237" s="714">
        <f t="shared" si="230"/>
        <v>9427.7800000000007</v>
      </c>
      <c r="AT237" s="714">
        <f t="shared" si="230"/>
        <v>367451.11</v>
      </c>
      <c r="AU237" s="714">
        <f t="shared" si="230"/>
        <v>22444.44</v>
      </c>
      <c r="AV237" s="714">
        <f t="shared" si="230"/>
        <v>16666.669999999998</v>
      </c>
      <c r="AW237" s="714">
        <f t="shared" si="230"/>
        <v>9964</v>
      </c>
      <c r="AX237" s="714">
        <f t="shared" si="230"/>
        <v>10155</v>
      </c>
      <c r="AY237" s="714">
        <f t="shared" si="230"/>
        <v>10863</v>
      </c>
      <c r="AZ237" s="714">
        <f t="shared" si="230"/>
        <v>17560.8</v>
      </c>
      <c r="BA237" s="714">
        <f t="shared" si="230"/>
        <v>15164</v>
      </c>
      <c r="BB237" s="714">
        <f t="shared" si="230"/>
        <v>70179.199999999997</v>
      </c>
      <c r="BC237" s="714">
        <f t="shared" si="230"/>
        <v>21266.91</v>
      </c>
      <c r="BD237" s="714">
        <f t="shared" si="230"/>
        <v>309595.56</v>
      </c>
      <c r="BE237" s="714">
        <f t="shared" si="230"/>
        <v>33792</v>
      </c>
      <c r="BF237" s="714">
        <f t="shared" si="230"/>
        <v>28700</v>
      </c>
      <c r="BG237" s="714">
        <f t="shared" si="230"/>
        <v>105122</v>
      </c>
      <c r="BH237" s="714">
        <f t="shared" si="230"/>
        <v>65256</v>
      </c>
      <c r="BI237" s="714">
        <f t="shared" si="230"/>
        <v>68071</v>
      </c>
      <c r="BJ237" s="714">
        <f t="shared" si="230"/>
        <v>302184.44</v>
      </c>
      <c r="BK237" s="714">
        <f t="shared" si="230"/>
        <v>1161005.56</v>
      </c>
      <c r="BL237" s="714">
        <f t="shared" si="230"/>
        <v>89750</v>
      </c>
      <c r="BM237" s="714">
        <f t="shared" si="230"/>
        <v>285460</v>
      </c>
      <c r="BN237" s="714">
        <f t="shared" si="230"/>
        <v>78002</v>
      </c>
      <c r="BO237" s="714">
        <f t="shared" si="230"/>
        <v>118294</v>
      </c>
      <c r="BP237" s="714">
        <f t="shared" si="230"/>
        <v>0</v>
      </c>
      <c r="BQ237" s="714">
        <f t="shared" si="230"/>
        <v>193364.74</v>
      </c>
      <c r="BR237" s="714">
        <f t="shared" si="230"/>
        <v>410395.26</v>
      </c>
      <c r="BS237" s="714">
        <f t="shared" si="230"/>
        <v>349833.99</v>
      </c>
      <c r="BT237" s="714">
        <f t="shared" si="230"/>
        <v>320198.14</v>
      </c>
      <c r="BU237" s="714">
        <f>+BU234+88734</f>
        <v>2359277.27</v>
      </c>
      <c r="BV237" s="714">
        <f t="shared" si="230"/>
        <v>6754104.2600000007</v>
      </c>
      <c r="BW237" s="715">
        <f>SUM(AI237-AH237)</f>
        <v>1697462.5300000012</v>
      </c>
    </row>
    <row r="238" spans="29:76" ht="12.75" customHeight="1">
      <c r="AD238" s="716" t="s">
        <v>1085</v>
      </c>
      <c r="AE238" s="717"/>
      <c r="AF238" s="717"/>
      <c r="AG238" s="110"/>
      <c r="AH238" s="581">
        <f>+AH222</f>
        <v>7327185</v>
      </c>
      <c r="AI238" s="581">
        <f>+AI222+1+28509</f>
        <v>9024647.8699999992</v>
      </c>
      <c r="AJ238" s="581">
        <v>0</v>
      </c>
      <c r="AK238" s="581">
        <f t="shared" ref="AK238:BB238" si="231">+AK222</f>
        <v>195136.46000000002</v>
      </c>
      <c r="AL238" s="581">
        <f t="shared" si="231"/>
        <v>1031646.5999999999</v>
      </c>
      <c r="AM238" s="581">
        <f t="shared" si="231"/>
        <v>579922.18999999994</v>
      </c>
      <c r="AN238" s="581">
        <f t="shared" si="231"/>
        <v>206684.43</v>
      </c>
      <c r="AO238" s="581">
        <f t="shared" si="231"/>
        <v>159072.22</v>
      </c>
      <c r="AP238" s="581">
        <f t="shared" si="231"/>
        <v>72585.539999999994</v>
      </c>
      <c r="AQ238" s="581">
        <f t="shared" si="231"/>
        <v>4444.43</v>
      </c>
      <c r="AR238" s="581">
        <f t="shared" si="231"/>
        <v>14444.439999999999</v>
      </c>
      <c r="AS238" s="581">
        <f t="shared" si="231"/>
        <v>9427.51</v>
      </c>
      <c r="AT238" s="581">
        <f t="shared" si="231"/>
        <v>367451.1399999999</v>
      </c>
      <c r="AU238" s="581">
        <f t="shared" si="231"/>
        <v>22443.439999999999</v>
      </c>
      <c r="AV238" s="581">
        <f t="shared" si="231"/>
        <v>16666.669999999998</v>
      </c>
      <c r="AW238" s="581">
        <f t="shared" si="231"/>
        <v>9964.01</v>
      </c>
      <c r="AX238" s="581">
        <f t="shared" si="231"/>
        <v>10155</v>
      </c>
      <c r="AY238" s="581">
        <f t="shared" si="231"/>
        <v>10862.99</v>
      </c>
      <c r="AZ238" s="581">
        <f t="shared" si="231"/>
        <v>17560.8</v>
      </c>
      <c r="BA238" s="581">
        <f t="shared" si="231"/>
        <v>15163.980000000001</v>
      </c>
      <c r="BB238" s="581">
        <f t="shared" si="231"/>
        <v>70178.81</v>
      </c>
      <c r="BC238" s="581">
        <f>+BC222-1</f>
        <v>21266.9</v>
      </c>
      <c r="BD238" s="581">
        <f t="shared" ref="BD238:BJ238" si="232">+BD222</f>
        <v>309595.58</v>
      </c>
      <c r="BE238" s="581">
        <f t="shared" si="232"/>
        <v>33791.990000000005</v>
      </c>
      <c r="BF238" s="581">
        <f t="shared" si="232"/>
        <v>28700.22</v>
      </c>
      <c r="BG238" s="581">
        <f t="shared" si="232"/>
        <v>105121.93999999997</v>
      </c>
      <c r="BH238" s="581">
        <f t="shared" si="232"/>
        <v>65255.990000000005</v>
      </c>
      <c r="BI238" s="581">
        <f t="shared" si="232"/>
        <v>68070.989999999991</v>
      </c>
      <c r="BJ238" s="581">
        <f t="shared" si="232"/>
        <v>302185.48</v>
      </c>
      <c r="BK238" s="581">
        <f>+BK222+1</f>
        <v>1161005.44</v>
      </c>
      <c r="BL238" s="581">
        <f t="shared" ref="BL238:BU238" si="233">+BL222</f>
        <v>89750</v>
      </c>
      <c r="BM238" s="581">
        <f t="shared" si="233"/>
        <v>285460</v>
      </c>
      <c r="BN238" s="581">
        <f t="shared" si="233"/>
        <v>78002.05</v>
      </c>
      <c r="BO238" s="581">
        <f t="shared" si="233"/>
        <v>118294.06</v>
      </c>
      <c r="BP238" s="581">
        <f t="shared" si="233"/>
        <v>0</v>
      </c>
      <c r="BQ238" s="581">
        <f t="shared" si="233"/>
        <v>193365.03999999998</v>
      </c>
      <c r="BR238" s="581">
        <f t="shared" si="233"/>
        <v>410394.92999999993</v>
      </c>
      <c r="BS238" s="581">
        <f t="shared" si="233"/>
        <v>349833.94999999995</v>
      </c>
      <c r="BT238" s="581">
        <f t="shared" si="233"/>
        <v>320198.11</v>
      </c>
      <c r="BU238" s="581">
        <f>+BU222+28509+88734-1</f>
        <v>2359276.54</v>
      </c>
      <c r="BV238" s="581">
        <f>+BV222+1</f>
        <v>6754104.3300000019</v>
      </c>
      <c r="BW238" s="718">
        <f>SUM(AI238-AH238)</f>
        <v>1697462.8699999992</v>
      </c>
    </row>
    <row r="239" spans="29:76" ht="12.75" customHeight="1">
      <c r="AD239" s="913" t="s">
        <v>1086</v>
      </c>
      <c r="AE239" s="914"/>
      <c r="AF239" s="914"/>
      <c r="AG239" s="915"/>
      <c r="AH239" s="581">
        <f>AH237-AH238</f>
        <v>0</v>
      </c>
      <c r="AI239" s="581">
        <f t="shared" ref="AI239:BV239" si="234">AI237-AI238</f>
        <v>-0.33999999798834324</v>
      </c>
      <c r="AJ239" s="581">
        <v>0</v>
      </c>
      <c r="AK239" s="581">
        <f t="shared" si="234"/>
        <v>0.2099999999627471</v>
      </c>
      <c r="AL239" s="581">
        <f t="shared" si="234"/>
        <v>7.0000000181607902E-2</v>
      </c>
      <c r="AM239" s="581">
        <f t="shared" si="234"/>
        <v>3.0000000027939677E-2</v>
      </c>
      <c r="AN239" s="581">
        <f t="shared" si="234"/>
        <v>1.0000000009313226E-2</v>
      </c>
      <c r="AO239" s="581">
        <f t="shared" si="234"/>
        <v>0</v>
      </c>
      <c r="AP239" s="581">
        <f t="shared" si="234"/>
        <v>2.0000000004074536E-2</v>
      </c>
      <c r="AQ239" s="581">
        <f t="shared" si="234"/>
        <v>9.999999999308784E-3</v>
      </c>
      <c r="AR239" s="581">
        <f t="shared" si="234"/>
        <v>0</v>
      </c>
      <c r="AS239" s="581">
        <f t="shared" si="234"/>
        <v>0.27000000000043656</v>
      </c>
      <c r="AT239" s="581">
        <f t="shared" si="234"/>
        <v>-2.9999999911524355E-2</v>
      </c>
      <c r="AU239" s="581">
        <f>AU237-AU238-1</f>
        <v>0</v>
      </c>
      <c r="AV239" s="581">
        <f t="shared" si="234"/>
        <v>0</v>
      </c>
      <c r="AW239" s="581">
        <f t="shared" si="234"/>
        <v>-1.0000000000218279E-2</v>
      </c>
      <c r="AX239" s="581">
        <f t="shared" si="234"/>
        <v>0</v>
      </c>
      <c r="AY239" s="581">
        <f t="shared" si="234"/>
        <v>1.0000000000218279E-2</v>
      </c>
      <c r="AZ239" s="581">
        <f t="shared" si="234"/>
        <v>0</v>
      </c>
      <c r="BA239" s="581">
        <f t="shared" si="234"/>
        <v>1.9999999998617568E-2</v>
      </c>
      <c r="BB239" s="581">
        <f t="shared" si="234"/>
        <v>0.38999999999941792</v>
      </c>
      <c r="BC239" s="581">
        <f t="shared" si="234"/>
        <v>9.9999999983992893E-3</v>
      </c>
      <c r="BD239" s="581">
        <f t="shared" si="234"/>
        <v>-2.0000000018626451E-2</v>
      </c>
      <c r="BE239" s="581">
        <f t="shared" si="234"/>
        <v>9.9999999947613105E-3</v>
      </c>
      <c r="BF239" s="581">
        <f t="shared" si="234"/>
        <v>-0.22000000000116415</v>
      </c>
      <c r="BG239" s="581">
        <f t="shared" si="234"/>
        <v>6.0000000026775524E-2</v>
      </c>
      <c r="BH239" s="581">
        <f t="shared" si="234"/>
        <v>9.9999999947613105E-3</v>
      </c>
      <c r="BI239" s="581">
        <f t="shared" si="234"/>
        <v>1.0000000009313226E-2</v>
      </c>
      <c r="BJ239" s="581">
        <f>BJ237-BJ238+1</f>
        <v>-3.9999999979045242E-2</v>
      </c>
      <c r="BK239" s="581">
        <f t="shared" si="234"/>
        <v>0.12000000011175871</v>
      </c>
      <c r="BL239" s="581">
        <f t="shared" si="234"/>
        <v>0</v>
      </c>
      <c r="BM239" s="581">
        <f t="shared" si="234"/>
        <v>0</v>
      </c>
      <c r="BN239" s="581">
        <f t="shared" si="234"/>
        <v>-5.0000000002910383E-2</v>
      </c>
      <c r="BO239" s="581">
        <f t="shared" si="234"/>
        <v>-5.9999999997671694E-2</v>
      </c>
      <c r="BP239" s="581">
        <f t="shared" si="234"/>
        <v>0</v>
      </c>
      <c r="BQ239" s="581">
        <f t="shared" si="234"/>
        <v>-0.29999999998835847</v>
      </c>
      <c r="BR239" s="581">
        <f t="shared" si="234"/>
        <v>0.33000000007450581</v>
      </c>
      <c r="BS239" s="581">
        <f t="shared" si="234"/>
        <v>4.0000000037252903E-2</v>
      </c>
      <c r="BT239" s="581">
        <f t="shared" si="234"/>
        <v>3.0000000027939677E-2</v>
      </c>
      <c r="BU239" s="581">
        <f>BU237-BU238-1</f>
        <v>-0.27000000001862645</v>
      </c>
      <c r="BV239" s="581">
        <f t="shared" si="234"/>
        <v>-7.0000001229345798E-2</v>
      </c>
      <c r="BW239" s="718">
        <f>SUM(AI239-AH239)</f>
        <v>-0.33999999798834324</v>
      </c>
    </row>
    <row r="240" spans="29:76">
      <c r="AD240" s="716" t="s">
        <v>1087</v>
      </c>
      <c r="AE240" s="717"/>
      <c r="AF240" s="717"/>
      <c r="AG240" s="110"/>
      <c r="AH240" s="719"/>
      <c r="AI240" s="719"/>
      <c r="AJ240" s="719"/>
      <c r="AK240" s="720">
        <f>AK237/AI237</f>
        <v>2.1622636158511552E-2</v>
      </c>
      <c r="AL240" s="720">
        <f>AL237/$AI$237</f>
        <v>0.11431434486173223</v>
      </c>
      <c r="AM240" s="720">
        <f t="shared" ref="AM240:BW240" si="235">AM237/$AI$237</f>
        <v>6.4259819352745398E-2</v>
      </c>
      <c r="AN240" s="720">
        <f t="shared" si="235"/>
        <v>2.2902217434302388E-2</v>
      </c>
      <c r="AO240" s="720">
        <f t="shared" si="235"/>
        <v>1.7626419145036678E-2</v>
      </c>
      <c r="AP240" s="720">
        <f t="shared" si="235"/>
        <v>8.0430354491639617E-3</v>
      </c>
      <c r="AQ240" s="720">
        <f t="shared" si="235"/>
        <v>4.9247795941344632E-4</v>
      </c>
      <c r="AR240" s="720">
        <f t="shared" si="235"/>
        <v>1.6005544761702177E-3</v>
      </c>
      <c r="AS240" s="720">
        <f t="shared" si="235"/>
        <v>1.0446701623149153E-3</v>
      </c>
      <c r="AT240" s="720">
        <f t="shared" si="235"/>
        <v>4.0716394604720915E-2</v>
      </c>
      <c r="AU240" s="720">
        <f t="shared" si="235"/>
        <v>2.4870156895756344E-3</v>
      </c>
      <c r="AV240" s="720">
        <f t="shared" si="235"/>
        <v>1.8467945639534574E-3</v>
      </c>
      <c r="AW240" s="720">
        <f t="shared" si="235"/>
        <v>1.1040874412964468E-3</v>
      </c>
      <c r="AX240" s="720">
        <f t="shared" si="235"/>
        <v>1.1252517027665011E-3</v>
      </c>
      <c r="AY240" s="720">
        <f t="shared" si="235"/>
        <v>1.2037035201528806E-3</v>
      </c>
      <c r="AZ240" s="720">
        <f t="shared" si="235"/>
        <v>1.9458710095462306E-3</v>
      </c>
      <c r="BA240" s="720">
        <f t="shared" si="235"/>
        <v>1.6802872300099678E-3</v>
      </c>
      <c r="BB240" s="720">
        <f t="shared" si="235"/>
        <v>7.776392348477679E-3</v>
      </c>
      <c r="BC240" s="720">
        <f t="shared" si="235"/>
        <v>2.3565363554979746E-3</v>
      </c>
      <c r="BD240" s="720">
        <f t="shared" si="235"/>
        <v>3.4305556972816197E-2</v>
      </c>
      <c r="BE240" s="720">
        <f t="shared" si="235"/>
        <v>3.7444121654244813E-3</v>
      </c>
      <c r="BF240" s="720">
        <f t="shared" si="235"/>
        <v>3.1801796030919332E-3</v>
      </c>
      <c r="BG240" s="720">
        <f t="shared" si="235"/>
        <v>1.1648321959450531E-2</v>
      </c>
      <c r="BH240" s="720">
        <f t="shared" si="235"/>
        <v>7.2308641177479859E-3</v>
      </c>
      <c r="BI240" s="720">
        <f t="shared" si="235"/>
        <v>7.5427876572150172E-3</v>
      </c>
      <c r="BJ240" s="720">
        <f t="shared" si="235"/>
        <v>3.3484348169329554E-2</v>
      </c>
      <c r="BK240" s="720">
        <f t="shared" si="235"/>
        <v>0.12864829968600447</v>
      </c>
      <c r="BL240" s="720">
        <f t="shared" si="235"/>
        <v>9.9449867378920212E-3</v>
      </c>
      <c r="BM240" s="720">
        <f t="shared" si="235"/>
        <v>3.1631152247338791E-2</v>
      </c>
      <c r="BN240" s="720">
        <f t="shared" si="235"/>
        <v>8.6432184460061671E-3</v>
      </c>
      <c r="BO240" s="720">
        <f t="shared" si="235"/>
        <v>1.310788034732255E-2</v>
      </c>
      <c r="BP240" s="720">
        <f t="shared" si="235"/>
        <v>0</v>
      </c>
      <c r="BQ240" s="720">
        <f t="shared" si="235"/>
        <v>2.142629275627787E-2</v>
      </c>
      <c r="BR240" s="720">
        <f t="shared" si="235"/>
        <v>4.5474935019428946E-2</v>
      </c>
      <c r="BS240" s="720">
        <f t="shared" si="235"/>
        <v>3.8764282908232313E-2</v>
      </c>
      <c r="BT240" s="720">
        <f t="shared" si="235"/>
        <v>3.5480403964319701E-2</v>
      </c>
      <c r="BU240" s="720">
        <f t="shared" si="235"/>
        <v>0.26142597394050243</v>
      </c>
      <c r="BV240" s="720">
        <f t="shared" si="235"/>
        <v>0.74840643222328707</v>
      </c>
      <c r="BW240" s="721">
        <f t="shared" si="235"/>
        <v>0.18809183675675376</v>
      </c>
    </row>
    <row r="241" spans="30:76" ht="12.75" customHeight="1" thickBot="1">
      <c r="AD241" s="722" t="s">
        <v>1088</v>
      </c>
      <c r="AE241" s="723"/>
      <c r="AF241" s="723"/>
      <c r="AG241" s="724"/>
      <c r="AH241" s="725"/>
      <c r="AI241" s="725"/>
      <c r="AJ241" s="725"/>
      <c r="AK241" s="725"/>
      <c r="AL241" s="725"/>
      <c r="AM241" s="725"/>
      <c r="AN241" s="725"/>
      <c r="AO241" s="725"/>
      <c r="AP241" s="725"/>
      <c r="AQ241" s="725"/>
      <c r="AR241" s="725"/>
      <c r="AS241" s="725"/>
      <c r="AT241" s="725"/>
      <c r="AU241" s="725"/>
      <c r="AV241" s="725"/>
      <c r="AW241" s="725"/>
      <c r="AX241" s="725"/>
      <c r="AY241" s="725"/>
      <c r="AZ241" s="725"/>
      <c r="BA241" s="725"/>
      <c r="BB241" s="725"/>
      <c r="BC241" s="725"/>
      <c r="BD241" s="725"/>
      <c r="BE241" s="725"/>
      <c r="BF241" s="725"/>
      <c r="BG241" s="725"/>
      <c r="BH241" s="725"/>
      <c r="BI241" s="725"/>
      <c r="BJ241" s="725"/>
      <c r="BK241" s="725"/>
      <c r="BL241" s="725"/>
      <c r="BM241" s="725"/>
      <c r="BN241" s="725"/>
      <c r="BO241" s="725"/>
      <c r="BP241" s="725"/>
      <c r="BQ241" s="725"/>
      <c r="BR241" s="725"/>
      <c r="BS241" s="725"/>
      <c r="BT241" s="725"/>
      <c r="BU241" s="725"/>
      <c r="BV241" s="725"/>
      <c r="BW241" s="726"/>
    </row>
    <row r="242" spans="30:76" s="272" customFormat="1" ht="12.75" customHeight="1">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row>
  </sheetData>
  <sheetProtection sheet="1" objects="1" scenarios="1"/>
  <customSheetViews>
    <customSheetView guid="{141D05B7-EC03-4D54-B355-18B30B95005C}" showPageBreaks="1" showGridLines="0" fitToPage="1" topLeftCell="A19">
      <selection activeCell="A5" sqref="A5"/>
      <rowBreaks count="4" manualBreakCount="4">
        <brk id="19" max="16383" man="1"/>
        <brk id="76" max="16383" man="1"/>
        <brk id="120" max="16383" man="1"/>
        <brk id="152" max="16383" man="1"/>
      </rowBreaks>
      <pageMargins left="0" right="0" top="0" bottom="0" header="0" footer="0"/>
      <pageSetup scale="45" fitToHeight="0" orientation="landscape" r:id="rId1"/>
      <headerFooter alignWithMargins="0">
        <oddFooter>&amp;C&amp;"Times New Roman,Regular"Page &amp;P</oddFooter>
      </headerFooter>
    </customSheetView>
    <customSheetView guid="{9D049D41-B99B-4004-9128-98F3E5E97A8B}" showPageBreaks="1" showGridLines="0" fitToPage="1" topLeftCell="A19">
      <selection activeCell="A5" sqref="A5"/>
      <rowBreaks count="16" manualBreakCount="16">
        <brk id="19" max="16383" man="1"/>
        <brk id="57" max="16383" man="1"/>
        <brk id="58" max="16383" man="1"/>
        <brk id="62" max="16383" man="1"/>
        <brk id="63" max="16383" man="1"/>
        <brk id="64" max="16383" man="1"/>
        <brk id="66" max="16383" man="1"/>
        <brk id="67" max="16383" man="1"/>
        <brk id="75" max="16383" man="1"/>
        <brk id="76" max="16383" man="1"/>
        <brk id="79" max="16383" man="1"/>
        <brk id="80" max="16383" man="1"/>
        <brk id="91" max="16383" man="1"/>
        <brk id="92" max="16383" man="1"/>
        <brk id="120" max="16383" man="1"/>
        <brk id="152" max="16383" man="1"/>
      </rowBreaks>
      <pageMargins left="0" right="0" top="0" bottom="0" header="0" footer="0"/>
      <pageSetup scale="45" fitToHeight="0" orientation="landscape" r:id="rId2"/>
      <headerFooter alignWithMargins="0">
        <oddFooter>&amp;C&amp;"Times New Roman,Regular"Page &amp;P</oddFooter>
      </headerFooter>
    </customSheetView>
  </customSheetViews>
  <mergeCells count="55">
    <mergeCell ref="AD239:AG239"/>
    <mergeCell ref="AD217:AG217"/>
    <mergeCell ref="AD219:AG219"/>
    <mergeCell ref="AD220:AG220"/>
    <mergeCell ref="AD223:BS223"/>
    <mergeCell ref="AD231:AG231"/>
    <mergeCell ref="AD210:AG210"/>
    <mergeCell ref="AD211:AG211"/>
    <mergeCell ref="AD212:AG212"/>
    <mergeCell ref="AD214:AG214"/>
    <mergeCell ref="AD216:AG216"/>
    <mergeCell ref="AD205:AG205"/>
    <mergeCell ref="AD206:AG206"/>
    <mergeCell ref="AD207:AG207"/>
    <mergeCell ref="AD208:AG208"/>
    <mergeCell ref="AD209:AG209"/>
    <mergeCell ref="AD186:AQ186"/>
    <mergeCell ref="AD193:AG193"/>
    <mergeCell ref="AD196:AG196"/>
    <mergeCell ref="AD200:AG200"/>
    <mergeCell ref="AD204:AG204"/>
    <mergeCell ref="AD176:AG176"/>
    <mergeCell ref="AD179:AG179"/>
    <mergeCell ref="AD183:AG183"/>
    <mergeCell ref="AD184:AG184"/>
    <mergeCell ref="AD185:AG185"/>
    <mergeCell ref="AD162:AG162"/>
    <mergeCell ref="AD163:AG163"/>
    <mergeCell ref="AD164:AG164"/>
    <mergeCell ref="AD167:AG167"/>
    <mergeCell ref="AD171:AG171"/>
    <mergeCell ref="AD150:AG150"/>
    <mergeCell ref="AD151:AG151"/>
    <mergeCell ref="AD154:AR154"/>
    <mergeCell ref="AD156:AG156"/>
    <mergeCell ref="AD160:AG160"/>
    <mergeCell ref="AD122:AG122"/>
    <mergeCell ref="AD126:AG126"/>
    <mergeCell ref="AD127:AG127"/>
    <mergeCell ref="AD128:AG128"/>
    <mergeCell ref="AD131:AG131"/>
    <mergeCell ref="AD21:AD23"/>
    <mergeCell ref="AE21:AE23"/>
    <mergeCell ref="AF21:AF23"/>
    <mergeCell ref="AD118:BT118"/>
    <mergeCell ref="AD119:BG119"/>
    <mergeCell ref="AD20:AJ20"/>
    <mergeCell ref="AD1:AF1"/>
    <mergeCell ref="AD7:AG7"/>
    <mergeCell ref="AD8:AG8"/>
    <mergeCell ref="AD9:AG9"/>
    <mergeCell ref="AD10:AG10"/>
    <mergeCell ref="AD12:AG12"/>
    <mergeCell ref="AD13:AG13"/>
    <mergeCell ref="AD14:AG14"/>
  </mergeCells>
  <phoneticPr fontId="0" type="noConversion"/>
  <conditionalFormatting sqref="BX24:BX116 BX126:BX128 BX135:BX142 BX149:BX153 BX160:BX164 BX171:BX176 BX183:BX185 BX193:BX197 BX204:BX222 BX230:BX234">
    <cfRule type="cellIs" dxfId="1" priority="1" stopIfTrue="1" operator="lessThan">
      <formula>-3</formula>
    </cfRule>
    <cfRule type="cellIs" dxfId="0" priority="2" stopIfTrue="1" operator="greaterThan">
      <formula>3</formula>
    </cfRule>
  </conditionalFormatting>
  <pageMargins left="0.75" right="0.75" top="1" bottom="1" header="0.5" footer="0.5"/>
  <pageSetup scale="37" fitToHeight="0" orientation="landscape" r:id="rId3"/>
  <headerFooter alignWithMargins="0">
    <oddFooter>&amp;C&amp;"Times New Roman,Regular"Page &amp;P</oddFooter>
  </headerFooter>
  <rowBreaks count="4" manualBreakCount="4">
    <brk id="18" max="16383" man="1"/>
    <brk id="79" max="16383" man="1"/>
    <brk id="130" max="16383" man="1"/>
    <brk id="163"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theme="8" tint="0.59999389629810485"/>
    <pageSetUpPr fitToPage="1"/>
  </sheetPr>
  <dimension ref="A1:G45"/>
  <sheetViews>
    <sheetView showGridLines="0" topLeftCell="A5" zoomScaleNormal="100" zoomScaleSheetLayoutView="77" workbookViewId="0">
      <selection activeCell="E11" sqref="E11"/>
    </sheetView>
  </sheetViews>
  <sheetFormatPr defaultColWidth="9.140625" defaultRowHeight="12.75"/>
  <cols>
    <col min="1" max="1" width="18.7109375" style="188" customWidth="1"/>
    <col min="2" max="2" width="15.140625" style="188" customWidth="1"/>
    <col min="3" max="3" width="12.5703125" style="188" customWidth="1"/>
    <col min="4" max="4" width="20.28515625" style="188" customWidth="1"/>
    <col min="5" max="5" width="20" style="188" customWidth="1"/>
    <col min="6" max="6" width="27.140625" style="188" customWidth="1"/>
    <col min="7" max="7" width="10.42578125" style="188" customWidth="1"/>
    <col min="8" max="16384" width="9.140625" style="188"/>
  </cols>
  <sheetData>
    <row r="1" spans="1:7" s="202" customFormat="1" ht="15">
      <c r="A1" s="203" t="s">
        <v>1089</v>
      </c>
      <c r="G1" s="325" t="s">
        <v>23</v>
      </c>
    </row>
    <row r="2" spans="1:7" ht="6" customHeight="1"/>
    <row r="3" spans="1:7" ht="18.75">
      <c r="A3" s="1179" t="s">
        <v>1090</v>
      </c>
      <c r="B3" s="1180"/>
      <c r="C3" s="1180"/>
      <c r="D3" s="1180"/>
      <c r="E3" s="1180"/>
      <c r="F3" s="1180"/>
    </row>
    <row r="4" spans="1:7" ht="9" customHeight="1">
      <c r="A4" s="201"/>
      <c r="B4" s="459"/>
      <c r="C4" s="459"/>
      <c r="D4" s="459"/>
      <c r="E4" s="459"/>
      <c r="F4" s="459"/>
    </row>
    <row r="5" spans="1:7" ht="15.75">
      <c r="A5" s="201" t="s">
        <v>1091</v>
      </c>
      <c r="B5" s="200"/>
      <c r="C5" s="200"/>
      <c r="D5" s="200"/>
      <c r="E5" s="200"/>
      <c r="F5" s="200"/>
    </row>
    <row r="6" spans="1:7">
      <c r="A6" s="199"/>
      <c r="B6" s="199"/>
      <c r="C6" s="198"/>
      <c r="D6" s="198"/>
      <c r="E6" s="198"/>
    </row>
    <row r="7" spans="1:7" ht="47.25">
      <c r="A7" s="197" t="s">
        <v>1092</v>
      </c>
      <c r="B7" s="196" t="s">
        <v>1093</v>
      </c>
      <c r="C7" s="196" t="s">
        <v>1094</v>
      </c>
      <c r="D7" s="196" t="s">
        <v>1095</v>
      </c>
      <c r="E7" s="196" t="s">
        <v>1096</v>
      </c>
      <c r="F7" s="195" t="s">
        <v>1097</v>
      </c>
    </row>
    <row r="8" spans="1:7" ht="15.75">
      <c r="A8" s="194" t="s">
        <v>1098</v>
      </c>
      <c r="B8" s="193">
        <v>2025</v>
      </c>
      <c r="C8" s="193">
        <v>2024</v>
      </c>
      <c r="D8" s="193" t="s">
        <v>1099</v>
      </c>
      <c r="E8" s="193"/>
      <c r="F8" s="192"/>
    </row>
    <row r="9" spans="1:7" ht="15.75">
      <c r="A9" s="194" t="s">
        <v>1100</v>
      </c>
      <c r="B9" s="193">
        <v>2025</v>
      </c>
      <c r="C9" s="193">
        <v>2024</v>
      </c>
      <c r="D9" s="193" t="s">
        <v>1099</v>
      </c>
      <c r="E9" s="193"/>
      <c r="F9" s="192"/>
    </row>
    <row r="10" spans="1:7" ht="15.75">
      <c r="A10" s="194" t="s">
        <v>1101</v>
      </c>
      <c r="B10" s="193">
        <v>2025</v>
      </c>
      <c r="C10" s="193">
        <v>2024</v>
      </c>
      <c r="D10" s="193" t="s">
        <v>1102</v>
      </c>
      <c r="E10" s="193"/>
      <c r="F10" s="192"/>
    </row>
    <row r="11" spans="1:7" ht="31.5">
      <c r="A11" s="194" t="s">
        <v>1103</v>
      </c>
      <c r="B11" s="193">
        <v>2024</v>
      </c>
      <c r="C11" s="193">
        <v>2023</v>
      </c>
      <c r="D11" s="193" t="s">
        <v>1099</v>
      </c>
      <c r="E11" s="193"/>
      <c r="F11" s="192"/>
    </row>
    <row r="12" spans="1:7" ht="15.75">
      <c r="A12" s="194"/>
      <c r="B12" s="193"/>
      <c r="C12" s="193"/>
      <c r="D12" s="193"/>
      <c r="E12" s="193"/>
      <c r="F12" s="192"/>
    </row>
    <row r="13" spans="1:7" ht="15.75">
      <c r="A13" s="194"/>
      <c r="B13" s="193"/>
      <c r="C13" s="193"/>
      <c r="D13" s="193"/>
      <c r="E13" s="193"/>
      <c r="F13" s="192"/>
    </row>
    <row r="14" spans="1:7" ht="15.75">
      <c r="A14" s="194"/>
      <c r="B14" s="193"/>
      <c r="C14" s="193"/>
      <c r="D14" s="193"/>
      <c r="E14" s="193"/>
      <c r="F14" s="192"/>
    </row>
    <row r="15" spans="1:7" ht="15.75">
      <c r="A15" s="194"/>
      <c r="B15" s="193"/>
      <c r="C15" s="193"/>
      <c r="D15" s="193"/>
      <c r="E15" s="193"/>
      <c r="F15" s="192"/>
    </row>
    <row r="16" spans="1:7" ht="15.75">
      <c r="A16" s="194"/>
      <c r="B16" s="193"/>
      <c r="C16" s="193"/>
      <c r="D16" s="193"/>
      <c r="E16" s="193"/>
      <c r="F16" s="192"/>
    </row>
    <row r="17" spans="1:6" ht="15.75">
      <c r="A17" s="194"/>
      <c r="B17" s="193"/>
      <c r="C17" s="193"/>
      <c r="D17" s="193"/>
      <c r="E17" s="193"/>
      <c r="F17" s="192"/>
    </row>
    <row r="18" spans="1:6" ht="15.75">
      <c r="A18" s="194"/>
      <c r="B18" s="193"/>
      <c r="C18" s="193"/>
      <c r="D18" s="193"/>
      <c r="E18" s="193"/>
      <c r="F18" s="192"/>
    </row>
    <row r="19" spans="1:6" ht="15.75">
      <c r="A19" s="194"/>
      <c r="B19" s="193"/>
      <c r="C19" s="193"/>
      <c r="D19" s="193"/>
      <c r="E19" s="193"/>
      <c r="F19" s="192"/>
    </row>
    <row r="20" spans="1:6" ht="15.75">
      <c r="A20" s="194"/>
      <c r="B20" s="193"/>
      <c r="C20" s="193"/>
      <c r="D20" s="193"/>
      <c r="E20" s="193"/>
      <c r="F20" s="192"/>
    </row>
    <row r="21" spans="1:6" ht="15.75">
      <c r="A21" s="194"/>
      <c r="B21" s="193"/>
      <c r="C21" s="193"/>
      <c r="D21" s="193"/>
      <c r="E21" s="193"/>
      <c r="F21" s="192"/>
    </row>
    <row r="22" spans="1:6" ht="15.75">
      <c r="A22" s="194"/>
      <c r="B22" s="193"/>
      <c r="C22" s="193"/>
      <c r="D22" s="193"/>
      <c r="E22" s="193"/>
      <c r="F22" s="192"/>
    </row>
    <row r="23" spans="1:6" ht="15.75">
      <c r="A23" s="194"/>
      <c r="B23" s="193"/>
      <c r="C23" s="193"/>
      <c r="D23" s="193"/>
      <c r="E23" s="193"/>
      <c r="F23" s="192"/>
    </row>
    <row r="24" spans="1:6" ht="15.75">
      <c r="A24" s="194"/>
      <c r="B24" s="193"/>
      <c r="C24" s="193"/>
      <c r="D24" s="193"/>
      <c r="E24" s="193"/>
      <c r="F24" s="192"/>
    </row>
    <row r="25" spans="1:6" ht="15.75">
      <c r="A25" s="194"/>
      <c r="B25" s="193"/>
      <c r="C25" s="193"/>
      <c r="D25" s="193"/>
      <c r="E25" s="193"/>
      <c r="F25" s="192"/>
    </row>
    <row r="26" spans="1:6" ht="15.75">
      <c r="A26" s="194"/>
      <c r="B26" s="193"/>
      <c r="C26" s="193"/>
      <c r="D26" s="193"/>
      <c r="E26" s="193"/>
      <c r="F26" s="192"/>
    </row>
    <row r="27" spans="1:6" ht="15.75">
      <c r="A27" s="194"/>
      <c r="B27" s="193"/>
      <c r="C27" s="193"/>
      <c r="D27" s="193"/>
      <c r="E27" s="193"/>
      <c r="F27" s="192"/>
    </row>
    <row r="28" spans="1:6" ht="15.75">
      <c r="A28" s="194"/>
      <c r="B28" s="193"/>
      <c r="C28" s="193"/>
      <c r="D28" s="193"/>
      <c r="E28" s="193"/>
      <c r="F28" s="192"/>
    </row>
    <row r="29" spans="1:6" ht="15.75">
      <c r="A29" s="194"/>
      <c r="B29" s="193"/>
      <c r="C29" s="193"/>
      <c r="D29" s="193"/>
      <c r="E29" s="193"/>
      <c r="F29" s="192"/>
    </row>
    <row r="30" spans="1:6" ht="15.75">
      <c r="A30" s="194"/>
      <c r="B30" s="193"/>
      <c r="C30" s="193"/>
      <c r="D30" s="193"/>
      <c r="E30" s="193"/>
      <c r="F30" s="192"/>
    </row>
    <row r="31" spans="1:6" ht="15.75">
      <c r="A31" s="194"/>
      <c r="B31" s="193"/>
      <c r="C31" s="193"/>
      <c r="D31" s="193"/>
      <c r="E31" s="193"/>
      <c r="F31" s="192"/>
    </row>
    <row r="32" spans="1:6" ht="15.75">
      <c r="A32" s="194"/>
      <c r="B32" s="193"/>
      <c r="C32" s="193"/>
      <c r="D32" s="193"/>
      <c r="E32" s="193"/>
      <c r="F32" s="192"/>
    </row>
    <row r="33" spans="1:6" ht="15.75">
      <c r="A33" s="194"/>
      <c r="B33" s="193"/>
      <c r="C33" s="193"/>
      <c r="D33" s="193"/>
      <c r="E33" s="193"/>
      <c r="F33" s="192"/>
    </row>
    <row r="34" spans="1:6" ht="15.75">
      <c r="A34" s="194"/>
      <c r="B34" s="193"/>
      <c r="C34" s="193"/>
      <c r="D34" s="193"/>
      <c r="E34" s="193"/>
      <c r="F34" s="192"/>
    </row>
    <row r="35" spans="1:6" ht="15.75">
      <c r="A35" s="194"/>
      <c r="B35" s="193"/>
      <c r="C35" s="193"/>
      <c r="D35" s="193"/>
      <c r="E35" s="193"/>
      <c r="F35" s="192"/>
    </row>
    <row r="36" spans="1:6" ht="15.75">
      <c r="A36" s="194"/>
      <c r="B36" s="193"/>
      <c r="C36" s="193"/>
      <c r="D36" s="193"/>
      <c r="E36" s="193"/>
      <c r="F36" s="192"/>
    </row>
    <row r="37" spans="1:6" ht="15.75">
      <c r="A37" s="194"/>
      <c r="B37" s="193"/>
      <c r="C37" s="193"/>
      <c r="D37" s="193"/>
      <c r="E37" s="193"/>
      <c r="F37" s="192"/>
    </row>
    <row r="38" spans="1:6" ht="15.75">
      <c r="A38" s="191"/>
      <c r="B38" s="190"/>
      <c r="C38" s="190"/>
      <c r="D38" s="190"/>
      <c r="E38" s="190"/>
      <c r="F38" s="189"/>
    </row>
    <row r="45" spans="1:6" ht="11.25" customHeight="1"/>
  </sheetData>
  <mergeCells count="1">
    <mergeCell ref="A3:F3"/>
  </mergeCells>
  <pageMargins left="0.75" right="0.75" top="1" bottom="1" header="0.5" footer="0.5"/>
  <pageSetup scale="85" firstPageNumber="35" fitToHeight="0" orientation="portrait" useFirstPageNumber="1" r:id="rId1"/>
  <headerFooter alignWithMargins="0">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tabColor theme="8" tint="0.59999389629810485"/>
    <pageSetUpPr fitToPage="1"/>
  </sheetPr>
  <dimension ref="A1:E48"/>
  <sheetViews>
    <sheetView showGridLines="0" zoomScaleNormal="100" zoomScaleSheetLayoutView="77" workbookViewId="0">
      <selection activeCell="I18" sqref="I18"/>
    </sheetView>
  </sheetViews>
  <sheetFormatPr defaultColWidth="9.140625" defaultRowHeight="12.75"/>
  <cols>
    <col min="1" max="1" width="20.7109375" style="203" customWidth="1"/>
    <col min="2" max="2" width="14.85546875" style="203" customWidth="1"/>
    <col min="3" max="3" width="17.140625" style="203" customWidth="1"/>
    <col min="4" max="4" width="37.85546875" style="203" customWidth="1"/>
    <col min="5" max="16384" width="9.140625" style="203"/>
  </cols>
  <sheetData>
    <row r="1" spans="1:5" s="202" customFormat="1" ht="15">
      <c r="A1" s="203" t="s">
        <v>1089</v>
      </c>
      <c r="E1" s="325" t="s">
        <v>23</v>
      </c>
    </row>
    <row r="2" spans="1:5" s="188" customFormat="1" ht="6" customHeight="1"/>
    <row r="3" spans="1:5" ht="18" customHeight="1">
      <c r="A3" s="445" t="s">
        <v>1104</v>
      </c>
    </row>
    <row r="4" spans="1:5" ht="12.75" customHeight="1">
      <c r="A4" s="211"/>
    </row>
    <row r="5" spans="1:5" ht="47.25" customHeight="1">
      <c r="A5" s="1181" t="s">
        <v>1105</v>
      </c>
      <c r="B5" s="1182"/>
      <c r="C5" s="1182"/>
      <c r="D5" s="1182"/>
    </row>
    <row r="7" spans="1:5" ht="31.5">
      <c r="A7" s="210" t="s">
        <v>129</v>
      </c>
      <c r="B7" s="273" t="s">
        <v>1106</v>
      </c>
      <c r="C7" s="273" t="s">
        <v>1107</v>
      </c>
      <c r="D7" s="274" t="s">
        <v>1108</v>
      </c>
    </row>
    <row r="8" spans="1:5" ht="25.5">
      <c r="A8" s="209" t="s">
        <v>1109</v>
      </c>
      <c r="B8" s="759">
        <v>46294</v>
      </c>
      <c r="C8" s="208" t="s">
        <v>1110</v>
      </c>
      <c r="D8" s="207" t="s">
        <v>1111</v>
      </c>
    </row>
    <row r="9" spans="1:5" ht="25.5">
      <c r="A9" s="209" t="s">
        <v>1112</v>
      </c>
      <c r="B9" s="759">
        <v>46287</v>
      </c>
      <c r="C9" s="208" t="s">
        <v>1113</v>
      </c>
      <c r="D9" s="207" t="s">
        <v>1111</v>
      </c>
    </row>
    <row r="10" spans="1:5" ht="51">
      <c r="A10" s="209" t="s">
        <v>1114</v>
      </c>
      <c r="B10" s="759">
        <v>46283</v>
      </c>
      <c r="C10" s="208" t="s">
        <v>1115</v>
      </c>
      <c r="D10" s="207" t="s">
        <v>1111</v>
      </c>
    </row>
    <row r="11" spans="1:5" ht="25.5">
      <c r="A11" s="209" t="s">
        <v>1116</v>
      </c>
      <c r="B11" s="759">
        <v>46273</v>
      </c>
      <c r="C11" s="208" t="s">
        <v>78</v>
      </c>
      <c r="D11" s="207" t="s">
        <v>1111</v>
      </c>
    </row>
    <row r="12" spans="1:5" ht="25.5">
      <c r="A12" s="209" t="s">
        <v>1117</v>
      </c>
      <c r="B12" s="759">
        <v>46273</v>
      </c>
      <c r="C12" s="208" t="s">
        <v>1113</v>
      </c>
      <c r="D12" s="207" t="s">
        <v>1111</v>
      </c>
    </row>
    <row r="13" spans="1:5" ht="38.25">
      <c r="A13" s="209" t="s">
        <v>1118</v>
      </c>
      <c r="B13" s="759">
        <v>46266</v>
      </c>
      <c r="C13" s="208" t="s">
        <v>1119</v>
      </c>
      <c r="D13" s="207" t="s">
        <v>1111</v>
      </c>
    </row>
    <row r="14" spans="1:5">
      <c r="A14" s="209" t="s">
        <v>1120</v>
      </c>
      <c r="B14" s="759">
        <v>46233</v>
      </c>
      <c r="C14" s="208" t="s">
        <v>1121</v>
      </c>
      <c r="D14" s="207" t="s">
        <v>1111</v>
      </c>
    </row>
    <row r="15" spans="1:5">
      <c r="A15" s="209" t="s">
        <v>1122</v>
      </c>
      <c r="B15" s="759">
        <v>46281</v>
      </c>
      <c r="C15" s="208" t="s">
        <v>1123</v>
      </c>
      <c r="D15" s="207" t="s">
        <v>1111</v>
      </c>
    </row>
    <row r="16" spans="1:5" ht="25.5">
      <c r="A16" s="209" t="s">
        <v>1124</v>
      </c>
      <c r="B16" s="208" t="s">
        <v>1125</v>
      </c>
      <c r="C16" s="208" t="s">
        <v>1123</v>
      </c>
      <c r="D16" s="207" t="s">
        <v>1111</v>
      </c>
    </row>
    <row r="17" spans="1:4" ht="51">
      <c r="A17" s="209" t="s">
        <v>1126</v>
      </c>
      <c r="B17" s="208" t="s">
        <v>1127</v>
      </c>
      <c r="C17" s="208" t="s">
        <v>1128</v>
      </c>
      <c r="D17" s="207" t="s">
        <v>1129</v>
      </c>
    </row>
    <row r="18" spans="1:4" ht="41.25" customHeight="1">
      <c r="A18" s="758" t="s">
        <v>1130</v>
      </c>
      <c r="B18" s="760">
        <v>46276</v>
      </c>
      <c r="C18" s="205" t="s">
        <v>1123</v>
      </c>
      <c r="D18" s="207" t="s">
        <v>1111</v>
      </c>
    </row>
    <row r="19" spans="1:4">
      <c r="A19" s="209"/>
      <c r="B19" s="208"/>
      <c r="C19" s="208"/>
      <c r="D19" s="207"/>
    </row>
    <row r="20" spans="1:4">
      <c r="A20" s="209"/>
      <c r="B20" s="208"/>
      <c r="C20" s="208"/>
      <c r="D20" s="207"/>
    </row>
    <row r="21" spans="1:4">
      <c r="A21" s="209"/>
      <c r="B21" s="208"/>
      <c r="C21" s="208"/>
      <c r="D21" s="207"/>
    </row>
    <row r="22" spans="1:4">
      <c r="A22" s="209"/>
      <c r="B22" s="208"/>
      <c r="C22" s="208"/>
      <c r="D22" s="207"/>
    </row>
    <row r="23" spans="1:4">
      <c r="A23" s="209"/>
      <c r="B23" s="208"/>
      <c r="C23" s="208"/>
      <c r="D23" s="207"/>
    </row>
    <row r="24" spans="1:4">
      <c r="A24" s="209"/>
      <c r="B24" s="208"/>
      <c r="C24" s="208"/>
      <c r="D24" s="207"/>
    </row>
    <row r="25" spans="1:4">
      <c r="A25" s="209"/>
      <c r="B25" s="208"/>
      <c r="C25" s="208"/>
      <c r="D25" s="207"/>
    </row>
    <row r="26" spans="1:4">
      <c r="A26" s="209"/>
      <c r="B26" s="208"/>
      <c r="C26" s="208"/>
      <c r="D26" s="207"/>
    </row>
    <row r="27" spans="1:4">
      <c r="A27" s="209"/>
      <c r="B27" s="208"/>
      <c r="C27" s="208"/>
      <c r="D27" s="207"/>
    </row>
    <row r="28" spans="1:4">
      <c r="A28" s="209"/>
      <c r="B28" s="208"/>
      <c r="C28" s="208"/>
      <c r="D28" s="207"/>
    </row>
    <row r="29" spans="1:4">
      <c r="A29" s="209"/>
      <c r="B29" s="208"/>
      <c r="C29" s="208"/>
      <c r="D29" s="207"/>
    </row>
    <row r="30" spans="1:4">
      <c r="A30" s="209"/>
      <c r="B30" s="208"/>
      <c r="C30" s="208"/>
      <c r="D30" s="207"/>
    </row>
    <row r="31" spans="1:4">
      <c r="A31" s="209"/>
      <c r="B31" s="208"/>
      <c r="C31" s="208"/>
      <c r="D31" s="207"/>
    </row>
    <row r="32" spans="1:4">
      <c r="A32" s="209"/>
      <c r="B32" s="208"/>
      <c r="C32" s="208"/>
      <c r="D32" s="207"/>
    </row>
    <row r="33" spans="1:4">
      <c r="A33" s="209"/>
      <c r="B33" s="208"/>
      <c r="C33" s="208"/>
      <c r="D33" s="207"/>
    </row>
    <row r="34" spans="1:4">
      <c r="A34" s="209"/>
      <c r="B34" s="208"/>
      <c r="C34" s="208"/>
      <c r="D34" s="207"/>
    </row>
    <row r="35" spans="1:4">
      <c r="A35" s="209"/>
      <c r="B35" s="208"/>
      <c r="C35" s="208"/>
      <c r="D35" s="207"/>
    </row>
    <row r="36" spans="1:4">
      <c r="A36" s="209"/>
      <c r="B36" s="208"/>
      <c r="C36" s="208"/>
      <c r="D36" s="207"/>
    </row>
    <row r="37" spans="1:4">
      <c r="A37" s="209"/>
      <c r="B37" s="208"/>
      <c r="C37" s="208"/>
      <c r="D37" s="207"/>
    </row>
    <row r="38" spans="1:4">
      <c r="A38" s="209"/>
      <c r="B38" s="208"/>
      <c r="C38" s="208"/>
      <c r="D38" s="207"/>
    </row>
    <row r="39" spans="1:4">
      <c r="A39" s="209"/>
      <c r="B39" s="208"/>
      <c r="C39" s="208"/>
      <c r="D39" s="207"/>
    </row>
    <row r="40" spans="1:4">
      <c r="A40" s="209"/>
      <c r="B40" s="208"/>
      <c r="C40" s="208"/>
      <c r="D40" s="207"/>
    </row>
    <row r="41" spans="1:4">
      <c r="A41" s="209"/>
      <c r="B41" s="208"/>
      <c r="C41" s="208"/>
      <c r="D41" s="207"/>
    </row>
    <row r="42" spans="1:4">
      <c r="A42" s="209"/>
      <c r="B42" s="208"/>
      <c r="C42" s="208"/>
      <c r="D42" s="207"/>
    </row>
    <row r="43" spans="1:4">
      <c r="A43" s="209"/>
      <c r="B43" s="208"/>
      <c r="C43" s="208"/>
      <c r="D43" s="207"/>
    </row>
    <row r="44" spans="1:4">
      <c r="A44" s="209"/>
      <c r="B44" s="208"/>
      <c r="C44" s="208"/>
      <c r="D44" s="207"/>
    </row>
    <row r="45" spans="1:4">
      <c r="A45" s="209"/>
      <c r="B45" s="208"/>
      <c r="C45" s="208"/>
      <c r="D45" s="207"/>
    </row>
    <row r="46" spans="1:4">
      <c r="A46" s="209"/>
      <c r="B46" s="208"/>
      <c r="C46" s="208"/>
      <c r="D46" s="207"/>
    </row>
    <row r="47" spans="1:4">
      <c r="A47" s="209"/>
      <c r="B47" s="208"/>
      <c r="C47" s="208"/>
      <c r="D47" s="207"/>
    </row>
    <row r="48" spans="1:4">
      <c r="A48" s="206"/>
      <c r="B48" s="205"/>
      <c r="C48" s="205"/>
      <c r="D48" s="204"/>
    </row>
  </sheetData>
  <mergeCells count="1">
    <mergeCell ref="A5:D5"/>
  </mergeCells>
  <pageMargins left="0.75" right="0.75" top="1" bottom="1" header="0.5" footer="0.5"/>
  <pageSetup fitToHeight="0" orientation="portrait" r:id="rId1"/>
  <headerFooter alignWithMargins="0">
    <oddFooter>&amp;C&amp;"Times New Roman,Regular"Page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3">
    <tabColor theme="8" tint="0.59999389629810485"/>
  </sheetPr>
  <dimension ref="A1:AN113"/>
  <sheetViews>
    <sheetView showGridLines="0" topLeftCell="I12" zoomScale="80" zoomScaleNormal="80" zoomScaleSheetLayoutView="70" workbookViewId="0">
      <selection activeCell="W68" sqref="W68"/>
    </sheetView>
  </sheetViews>
  <sheetFormatPr defaultColWidth="9.140625" defaultRowHeight="12.75"/>
  <cols>
    <col min="1" max="2" width="9.42578125" style="188" customWidth="1"/>
    <col min="3" max="3" width="98.28515625" style="188" bestFit="1" customWidth="1"/>
    <col min="4" max="4" width="39" style="188" bestFit="1" customWidth="1"/>
    <col min="5" max="5" width="19.85546875" style="188" bestFit="1" customWidth="1"/>
    <col min="6" max="6" width="18.42578125" style="188" bestFit="1" customWidth="1"/>
    <col min="7" max="7" width="9.42578125" style="188" customWidth="1"/>
    <col min="8" max="8" width="41.7109375" style="188" bestFit="1" customWidth="1"/>
    <col min="9" max="9" width="19.85546875" style="188" bestFit="1" customWidth="1"/>
    <col min="10" max="10" width="16" style="188" bestFit="1" customWidth="1"/>
    <col min="11" max="11" width="10.5703125" style="188" bestFit="1" customWidth="1"/>
    <col min="12" max="12" width="6.28515625" style="188" bestFit="1" customWidth="1"/>
    <col min="13" max="14" width="12.7109375" style="188" bestFit="1" customWidth="1"/>
    <col min="15" max="16" width="27.28515625" style="188" bestFit="1" customWidth="1"/>
    <col min="17" max="36" width="9.42578125" style="188" customWidth="1"/>
    <col min="37" max="16384" width="9.140625" style="188"/>
  </cols>
  <sheetData>
    <row r="1" spans="1:40" s="202" customFormat="1" ht="15">
      <c r="A1" s="203" t="s">
        <v>1089</v>
      </c>
      <c r="AN1" s="325" t="s">
        <v>23</v>
      </c>
    </row>
    <row r="3" spans="1:40" s="202" customFormat="1" ht="18.75">
      <c r="A3" s="1201" t="s">
        <v>1131</v>
      </c>
      <c r="B3" s="1201"/>
      <c r="C3" s="1201"/>
      <c r="D3" s="1201"/>
      <c r="E3" s="1201"/>
      <c r="F3" s="1201"/>
      <c r="G3" s="1202"/>
      <c r="H3" s="1202"/>
      <c r="I3" s="1202"/>
    </row>
    <row r="4" spans="1:40" s="202" customFormat="1" ht="15.75">
      <c r="A4" s="240"/>
      <c r="B4" s="240"/>
      <c r="C4" s="240"/>
      <c r="D4" s="240"/>
      <c r="E4" s="240"/>
      <c r="F4" s="240"/>
      <c r="G4" s="239"/>
      <c r="H4" s="239"/>
      <c r="I4" s="239"/>
    </row>
    <row r="5" spans="1:40" s="202" customFormat="1" ht="47.25" customHeight="1">
      <c r="A5" s="1181" t="s">
        <v>1132</v>
      </c>
      <c r="B5" s="1204"/>
      <c r="C5" s="1204"/>
      <c r="D5" s="1204"/>
      <c r="E5" s="1204"/>
      <c r="F5" s="1204"/>
      <c r="G5" s="1204"/>
      <c r="H5" s="1204"/>
      <c r="I5" s="1204"/>
      <c r="J5" s="1204"/>
      <c r="K5" s="1204"/>
      <c r="L5" s="1204"/>
      <c r="M5" s="1204"/>
      <c r="N5" s="1204"/>
    </row>
    <row r="6" spans="1:40" ht="60" customHeight="1">
      <c r="A6" s="1203" t="s">
        <v>1133</v>
      </c>
      <c r="B6" s="1203"/>
      <c r="C6" s="1203"/>
      <c r="D6" s="1203"/>
      <c r="E6" s="1203"/>
      <c r="F6" s="1203"/>
      <c r="G6" s="1203"/>
      <c r="H6" s="1203"/>
      <c r="I6" s="1203"/>
      <c r="J6" s="1204"/>
      <c r="K6" s="1204"/>
      <c r="L6" s="1204"/>
      <c r="M6" s="1204"/>
      <c r="N6" s="1204"/>
    </row>
    <row r="7" spans="1:40" ht="128.25" customHeight="1">
      <c r="A7" s="1203" t="s">
        <v>1134</v>
      </c>
      <c r="B7" s="1203"/>
      <c r="C7" s="1203"/>
      <c r="D7" s="1203"/>
      <c r="E7" s="1203"/>
      <c r="F7" s="1203"/>
      <c r="G7" s="1203"/>
      <c r="H7" s="1203"/>
      <c r="I7" s="1203"/>
      <c r="J7" s="1203"/>
      <c r="K7" s="1203"/>
      <c r="L7" s="1203"/>
      <c r="M7" s="1203"/>
      <c r="N7" s="1203"/>
    </row>
    <row r="8" spans="1:40" ht="22.5" customHeight="1">
      <c r="A8" s="460"/>
      <c r="B8" s="460"/>
      <c r="C8" s="460"/>
      <c r="D8" s="460"/>
      <c r="E8" s="460"/>
      <c r="F8" s="460"/>
      <c r="G8" s="460"/>
      <c r="H8" s="460"/>
      <c r="I8" s="460"/>
      <c r="J8" s="460"/>
      <c r="K8" s="460"/>
      <c r="L8" s="460"/>
      <c r="M8" s="460"/>
      <c r="N8" s="460"/>
    </row>
    <row r="9" spans="1:40" ht="75" customHeight="1">
      <c r="A9" s="1203" t="s">
        <v>1135</v>
      </c>
      <c r="B9" s="1203"/>
      <c r="C9" s="1203"/>
      <c r="D9" s="1203"/>
      <c r="E9" s="1203"/>
      <c r="F9" s="1203"/>
      <c r="G9" s="1203"/>
      <c r="H9" s="1203"/>
      <c r="I9" s="1203"/>
      <c r="J9" s="1203"/>
      <c r="K9" s="1203"/>
      <c r="L9" s="1203"/>
      <c r="M9" s="1203"/>
      <c r="N9" s="1203"/>
    </row>
    <row r="10" spans="1:40" ht="28.5" customHeight="1">
      <c r="A10" s="460"/>
      <c r="B10" s="460"/>
      <c r="C10" s="460"/>
      <c r="D10" s="460"/>
      <c r="E10" s="460"/>
      <c r="F10" s="460"/>
      <c r="G10" s="460"/>
      <c r="H10" s="460"/>
      <c r="I10" s="460"/>
      <c r="J10" s="460"/>
      <c r="K10" s="460"/>
      <c r="L10" s="460"/>
      <c r="M10" s="460"/>
      <c r="N10" s="460"/>
    </row>
    <row r="11" spans="1:40" ht="15.75">
      <c r="A11" s="275"/>
      <c r="C11" s="238"/>
      <c r="D11" s="1189" t="s">
        <v>1136</v>
      </c>
      <c r="E11" s="1190"/>
      <c r="F11" s="1190"/>
      <c r="G11" s="1190"/>
      <c r="H11" s="1190"/>
      <c r="I11" s="1190"/>
      <c r="J11" s="1190"/>
      <c r="K11" s="1190"/>
      <c r="L11" s="1190"/>
      <c r="M11" s="1190"/>
      <c r="N11" s="1190"/>
      <c r="O11" s="1190"/>
      <c r="P11" s="1191"/>
      <c r="Q11" s="1192" t="s">
        <v>1137</v>
      </c>
      <c r="R11" s="1193"/>
      <c r="S11" s="1193"/>
      <c r="T11" s="1193"/>
      <c r="U11" s="1193"/>
      <c r="V11" s="1193"/>
      <c r="W11" s="1193"/>
      <c r="X11" s="1193"/>
      <c r="Y11" s="1193"/>
      <c r="Z11" s="1193"/>
      <c r="AA11" s="1193"/>
      <c r="AB11" s="1193"/>
      <c r="AC11" s="1193"/>
      <c r="AD11" s="1193"/>
      <c r="AE11" s="1193"/>
      <c r="AF11" s="1193"/>
      <c r="AG11" s="1193"/>
      <c r="AH11" s="1193"/>
      <c r="AI11" s="1193"/>
      <c r="AJ11" s="1193"/>
      <c r="AK11" s="1193"/>
      <c r="AL11" s="1193"/>
      <c r="AM11" s="1194"/>
    </row>
    <row r="12" spans="1:40" ht="102" customHeight="1">
      <c r="A12" s="237"/>
      <c r="B12" s="237"/>
      <c r="C12" s="237"/>
      <c r="D12" s="1195" t="s">
        <v>1138</v>
      </c>
      <c r="E12" s="1195"/>
      <c r="F12" s="1195"/>
      <c r="G12" s="487"/>
      <c r="H12" s="1195" t="s">
        <v>1139</v>
      </c>
      <c r="I12" s="1195"/>
      <c r="J12" s="1195"/>
      <c r="K12" s="1196"/>
      <c r="L12" s="236"/>
      <c r="M12" s="236"/>
      <c r="N12" s="236"/>
      <c r="O12" s="827"/>
      <c r="P12" s="823"/>
      <c r="Q12" s="830"/>
      <c r="R12" s="1198" t="s">
        <v>1140</v>
      </c>
      <c r="S12" s="1199"/>
      <c r="T12" s="1200"/>
      <c r="U12" s="1199"/>
      <c r="V12" s="1199"/>
      <c r="W12" s="1199"/>
      <c r="X12" s="1199"/>
      <c r="Y12" s="1199"/>
      <c r="Z12" s="1199"/>
      <c r="AA12" s="1199"/>
      <c r="AB12" s="1199"/>
      <c r="AC12" s="1199"/>
      <c r="AD12" s="1199"/>
      <c r="AE12" s="235"/>
      <c r="AF12" s="235"/>
      <c r="AG12" s="1183" t="s">
        <v>1141</v>
      </c>
      <c r="AH12" s="234"/>
      <c r="AI12" s="1186" t="s">
        <v>1142</v>
      </c>
      <c r="AJ12" s="1187"/>
      <c r="AK12" s="1187"/>
      <c r="AL12" s="1187"/>
      <c r="AM12" s="1188"/>
    </row>
    <row r="13" spans="1:40" ht="15.75">
      <c r="A13" s="233"/>
      <c r="B13" s="233"/>
      <c r="C13" s="233"/>
      <c r="D13" s="232"/>
      <c r="E13" s="231"/>
      <c r="F13" s="231"/>
      <c r="G13" s="231"/>
      <c r="H13" s="231"/>
      <c r="I13" s="231"/>
      <c r="J13" s="231"/>
      <c r="K13" s="1197"/>
      <c r="L13" s="230"/>
      <c r="M13" s="230"/>
      <c r="N13" s="230"/>
      <c r="O13" s="828"/>
      <c r="P13" s="824"/>
      <c r="Q13" s="831"/>
      <c r="R13" s="229"/>
      <c r="S13" s="229"/>
      <c r="T13" s="228"/>
      <c r="U13" s="227"/>
      <c r="V13" s="227"/>
      <c r="W13" s="227"/>
      <c r="X13" s="227"/>
      <c r="Y13" s="227"/>
      <c r="Z13" s="227"/>
      <c r="AA13" s="227"/>
      <c r="AB13" s="227"/>
      <c r="AC13" s="227"/>
      <c r="AD13" s="227"/>
      <c r="AE13" s="226"/>
      <c r="AF13" s="226"/>
      <c r="AG13" s="1184"/>
      <c r="AH13" s="226"/>
      <c r="AI13" s="225"/>
      <c r="AJ13" s="225"/>
      <c r="AK13" s="225"/>
      <c r="AL13" s="225"/>
      <c r="AM13" s="225"/>
    </row>
    <row r="14" spans="1:40" s="214" customFormat="1" ht="75">
      <c r="A14" s="224" t="s">
        <v>1143</v>
      </c>
      <c r="B14" s="223" t="s">
        <v>127</v>
      </c>
      <c r="C14" s="223" t="s">
        <v>1144</v>
      </c>
      <c r="D14" s="221" t="s">
        <v>1145</v>
      </c>
      <c r="E14" s="222" t="s">
        <v>1146</v>
      </c>
      <c r="F14" s="222" t="s">
        <v>128</v>
      </c>
      <c r="G14" s="222" t="s">
        <v>1147</v>
      </c>
      <c r="H14" s="221" t="s">
        <v>1148</v>
      </c>
      <c r="I14" s="222" t="s">
        <v>1146</v>
      </c>
      <c r="J14" s="221" t="s">
        <v>1149</v>
      </c>
      <c r="K14" s="448" t="s">
        <v>1150</v>
      </c>
      <c r="L14" s="221" t="s">
        <v>1151</v>
      </c>
      <c r="M14" s="221" t="s">
        <v>1152</v>
      </c>
      <c r="N14" s="222" t="s">
        <v>1153</v>
      </c>
      <c r="O14" s="829" t="s">
        <v>1154</v>
      </c>
      <c r="P14" s="825" t="s">
        <v>1155</v>
      </c>
      <c r="Q14" s="832" t="s">
        <v>1156</v>
      </c>
      <c r="R14" s="220" t="s">
        <v>1157</v>
      </c>
      <c r="S14" s="219" t="s">
        <v>1158</v>
      </c>
      <c r="T14" s="219" t="s">
        <v>1159</v>
      </c>
      <c r="U14" s="282" t="s">
        <v>126</v>
      </c>
      <c r="V14" s="216" t="s">
        <v>302</v>
      </c>
      <c r="W14" s="216" t="s">
        <v>78</v>
      </c>
      <c r="X14" s="217" t="s">
        <v>350</v>
      </c>
      <c r="Y14" s="216" t="s">
        <v>379</v>
      </c>
      <c r="Z14" s="218" t="s">
        <v>42</v>
      </c>
      <c r="AA14" s="217" t="s">
        <v>693</v>
      </c>
      <c r="AB14" s="217" t="s">
        <v>77</v>
      </c>
      <c r="AC14" s="216" t="s">
        <v>1160</v>
      </c>
      <c r="AD14" s="216" t="s">
        <v>1161</v>
      </c>
      <c r="AE14" s="216" t="s">
        <v>1162</v>
      </c>
      <c r="AF14" s="216" t="s">
        <v>1163</v>
      </c>
      <c r="AG14" s="1185"/>
      <c r="AH14" s="216" t="s">
        <v>1164</v>
      </c>
      <c r="AI14" s="215" t="s">
        <v>1165</v>
      </c>
      <c r="AJ14" s="215" t="s">
        <v>1166</v>
      </c>
      <c r="AK14" s="215" t="s">
        <v>1167</v>
      </c>
      <c r="AL14" s="215" t="s">
        <v>1168</v>
      </c>
      <c r="AM14" s="215" t="s">
        <v>1169</v>
      </c>
    </row>
    <row r="15" spans="1:40" ht="15">
      <c r="A15" s="763">
        <v>1</v>
      </c>
      <c r="B15" s="764">
        <v>5</v>
      </c>
      <c r="C15" s="765" t="s">
        <v>1170</v>
      </c>
      <c r="D15" s="766" t="s">
        <v>1171</v>
      </c>
      <c r="E15" s="767" t="s">
        <v>1172</v>
      </c>
      <c r="F15" s="766" t="s">
        <v>248</v>
      </c>
      <c r="G15" s="767">
        <v>34683</v>
      </c>
      <c r="H15" s="766" t="s">
        <v>1171</v>
      </c>
      <c r="I15" s="767" t="s">
        <v>1172</v>
      </c>
      <c r="J15" s="766" t="s">
        <v>248</v>
      </c>
      <c r="K15" s="767" t="s">
        <v>1173</v>
      </c>
      <c r="L15" s="766">
        <v>34683</v>
      </c>
      <c r="M15" s="767" t="s">
        <v>1174</v>
      </c>
      <c r="N15" s="768" t="s">
        <v>1175</v>
      </c>
      <c r="O15" s="767" t="s">
        <v>1176</v>
      </c>
      <c r="P15" s="766" t="s">
        <v>1176</v>
      </c>
      <c r="Q15" s="833" t="s">
        <v>140</v>
      </c>
      <c r="R15" s="771" t="s">
        <v>140</v>
      </c>
      <c r="S15" s="770" t="s">
        <v>140</v>
      </c>
      <c r="T15" s="771" t="s">
        <v>1177</v>
      </c>
      <c r="U15" s="770" t="s">
        <v>1177</v>
      </c>
      <c r="V15" s="771" t="s">
        <v>1177</v>
      </c>
      <c r="W15" s="770" t="s">
        <v>140</v>
      </c>
      <c r="X15" s="771" t="s">
        <v>1177</v>
      </c>
      <c r="Y15" s="770" t="s">
        <v>140</v>
      </c>
      <c r="Z15" s="771" t="s">
        <v>140</v>
      </c>
      <c r="AA15" s="770" t="s">
        <v>1177</v>
      </c>
      <c r="AB15" s="771" t="s">
        <v>140</v>
      </c>
      <c r="AC15" s="770" t="s">
        <v>140</v>
      </c>
      <c r="AD15" s="772" t="s">
        <v>140</v>
      </c>
      <c r="AE15" s="770" t="s">
        <v>140</v>
      </c>
      <c r="AF15" s="771" t="s">
        <v>140</v>
      </c>
      <c r="AG15" s="770" t="s">
        <v>140</v>
      </c>
      <c r="AH15" s="771" t="s">
        <v>140</v>
      </c>
      <c r="AI15" s="770" t="s">
        <v>140</v>
      </c>
      <c r="AJ15" s="773" t="s">
        <v>140</v>
      </c>
      <c r="AK15" s="773" t="s">
        <v>140</v>
      </c>
      <c r="AL15" s="773" t="s">
        <v>140</v>
      </c>
      <c r="AM15" s="773" t="s">
        <v>140</v>
      </c>
      <c r="AN15" s="177"/>
    </row>
    <row r="16" spans="1:40">
      <c r="A16" s="763">
        <v>2</v>
      </c>
      <c r="B16" s="764">
        <v>5</v>
      </c>
      <c r="C16" s="765" t="s">
        <v>1170</v>
      </c>
      <c r="D16" s="766" t="s">
        <v>1171</v>
      </c>
      <c r="E16" s="767" t="s">
        <v>1172</v>
      </c>
      <c r="F16" s="766" t="s">
        <v>248</v>
      </c>
      <c r="G16" s="767">
        <v>34683</v>
      </c>
      <c r="H16" s="766" t="s">
        <v>1171</v>
      </c>
      <c r="I16" s="767" t="s">
        <v>1172</v>
      </c>
      <c r="J16" s="766" t="s">
        <v>248</v>
      </c>
      <c r="K16" s="767" t="s">
        <v>136</v>
      </c>
      <c r="L16" s="766">
        <v>34683</v>
      </c>
      <c r="M16" s="767" t="s">
        <v>1174</v>
      </c>
      <c r="N16" s="768" t="s">
        <v>1175</v>
      </c>
      <c r="O16" s="767" t="s">
        <v>1176</v>
      </c>
      <c r="P16" s="766" t="s">
        <v>1176</v>
      </c>
      <c r="Q16" s="833" t="s">
        <v>140</v>
      </c>
      <c r="R16" s="771" t="s">
        <v>140</v>
      </c>
      <c r="S16" s="770" t="s">
        <v>140</v>
      </c>
      <c r="T16" s="771" t="s">
        <v>1177</v>
      </c>
      <c r="U16" s="770" t="s">
        <v>1177</v>
      </c>
      <c r="V16" s="771" t="s">
        <v>1177</v>
      </c>
      <c r="W16" s="770" t="s">
        <v>140</v>
      </c>
      <c r="X16" s="771" t="s">
        <v>1177</v>
      </c>
      <c r="Y16" s="770" t="s">
        <v>140</v>
      </c>
      <c r="Z16" s="771" t="s">
        <v>140</v>
      </c>
      <c r="AA16" s="770" t="s">
        <v>1177</v>
      </c>
      <c r="AB16" s="771" t="s">
        <v>140</v>
      </c>
      <c r="AC16" s="770" t="s">
        <v>140</v>
      </c>
      <c r="AD16" s="771" t="s">
        <v>140</v>
      </c>
      <c r="AE16" s="770" t="s">
        <v>140</v>
      </c>
      <c r="AF16" s="771" t="s">
        <v>140</v>
      </c>
      <c r="AG16" s="770" t="s">
        <v>140</v>
      </c>
      <c r="AH16" s="771" t="s">
        <v>140</v>
      </c>
      <c r="AI16" s="770" t="s">
        <v>140</v>
      </c>
      <c r="AJ16" s="773" t="s">
        <v>140</v>
      </c>
      <c r="AK16" s="773" t="s">
        <v>140</v>
      </c>
      <c r="AL16" s="773" t="s">
        <v>140</v>
      </c>
      <c r="AM16" s="773" t="s">
        <v>140</v>
      </c>
      <c r="AN16" s="177"/>
    </row>
    <row r="17" spans="1:40">
      <c r="A17" s="763">
        <v>3</v>
      </c>
      <c r="B17" s="764">
        <v>5</v>
      </c>
      <c r="C17" s="765" t="s">
        <v>1178</v>
      </c>
      <c r="D17" s="766" t="s">
        <v>1179</v>
      </c>
      <c r="E17" s="767" t="s">
        <v>1180</v>
      </c>
      <c r="F17" s="766" t="s">
        <v>248</v>
      </c>
      <c r="G17" s="767">
        <v>33773</v>
      </c>
      <c r="H17" s="774" t="s">
        <v>1179</v>
      </c>
      <c r="I17" s="767" t="s">
        <v>1180</v>
      </c>
      <c r="J17" s="766" t="s">
        <v>1173</v>
      </c>
      <c r="K17" s="767" t="s">
        <v>1173</v>
      </c>
      <c r="L17" s="766">
        <v>33773</v>
      </c>
      <c r="M17" s="767" t="s">
        <v>1181</v>
      </c>
      <c r="N17" s="768" t="s">
        <v>1182</v>
      </c>
      <c r="O17" s="769" t="s">
        <v>1183</v>
      </c>
      <c r="P17" s="766" t="s">
        <v>1183</v>
      </c>
      <c r="Q17" s="833" t="s">
        <v>140</v>
      </c>
      <c r="R17" s="771" t="s">
        <v>140</v>
      </c>
      <c r="S17" s="770" t="s">
        <v>140</v>
      </c>
      <c r="T17" s="771" t="s">
        <v>1177</v>
      </c>
      <c r="U17" s="770" t="s">
        <v>140</v>
      </c>
      <c r="V17" s="771" t="s">
        <v>1177</v>
      </c>
      <c r="W17" s="770" t="s">
        <v>140</v>
      </c>
      <c r="X17" s="771" t="s">
        <v>140</v>
      </c>
      <c r="Y17" s="770" t="s">
        <v>140</v>
      </c>
      <c r="Z17" s="771" t="s">
        <v>140</v>
      </c>
      <c r="AA17" s="770" t="s">
        <v>140</v>
      </c>
      <c r="AB17" s="771" t="s">
        <v>140</v>
      </c>
      <c r="AC17" s="770" t="s">
        <v>140</v>
      </c>
      <c r="AD17" s="771" t="s">
        <v>140</v>
      </c>
      <c r="AE17" s="770" t="s">
        <v>140</v>
      </c>
      <c r="AF17" s="771" t="s">
        <v>140</v>
      </c>
      <c r="AG17" s="770" t="s">
        <v>140</v>
      </c>
      <c r="AH17" s="771" t="s">
        <v>140</v>
      </c>
      <c r="AI17" s="770" t="s">
        <v>140</v>
      </c>
      <c r="AJ17" s="773" t="s">
        <v>140</v>
      </c>
      <c r="AK17" s="773" t="s">
        <v>140</v>
      </c>
      <c r="AL17" s="773" t="s">
        <v>140</v>
      </c>
      <c r="AM17" s="773" t="s">
        <v>140</v>
      </c>
      <c r="AN17" s="177"/>
    </row>
    <row r="18" spans="1:40">
      <c r="A18" s="763">
        <v>4</v>
      </c>
      <c r="B18" s="764">
        <v>5</v>
      </c>
      <c r="C18" s="776" t="s">
        <v>1178</v>
      </c>
      <c r="D18" s="777" t="s">
        <v>1179</v>
      </c>
      <c r="E18" s="778" t="s">
        <v>1180</v>
      </c>
      <c r="F18" s="777" t="s">
        <v>248</v>
      </c>
      <c r="G18" s="778">
        <v>33773</v>
      </c>
      <c r="H18" s="777" t="s">
        <v>1179</v>
      </c>
      <c r="I18" s="778" t="s">
        <v>1180</v>
      </c>
      <c r="J18" s="777" t="s">
        <v>1173</v>
      </c>
      <c r="K18" s="778" t="s">
        <v>136</v>
      </c>
      <c r="L18" s="777">
        <v>33773</v>
      </c>
      <c r="M18" s="778" t="s">
        <v>1181</v>
      </c>
      <c r="N18" s="779" t="s">
        <v>1182</v>
      </c>
      <c r="O18" s="780" t="s">
        <v>1183</v>
      </c>
      <c r="P18" s="777" t="s">
        <v>1183</v>
      </c>
      <c r="Q18" s="834" t="s">
        <v>140</v>
      </c>
      <c r="R18" s="782" t="s">
        <v>140</v>
      </c>
      <c r="S18" s="781" t="s">
        <v>140</v>
      </c>
      <c r="T18" s="782" t="s">
        <v>1177</v>
      </c>
      <c r="U18" s="781" t="s">
        <v>140</v>
      </c>
      <c r="V18" s="782" t="s">
        <v>1177</v>
      </c>
      <c r="W18" s="781" t="s">
        <v>140</v>
      </c>
      <c r="X18" s="782" t="s">
        <v>140</v>
      </c>
      <c r="Y18" s="781" t="s">
        <v>140</v>
      </c>
      <c r="Z18" s="782" t="s">
        <v>140</v>
      </c>
      <c r="AA18" s="781" t="s">
        <v>140</v>
      </c>
      <c r="AB18" s="782" t="s">
        <v>140</v>
      </c>
      <c r="AC18" s="781" t="s">
        <v>140</v>
      </c>
      <c r="AD18" s="782" t="s">
        <v>140</v>
      </c>
      <c r="AE18" s="781" t="s">
        <v>140</v>
      </c>
      <c r="AF18" s="782" t="s">
        <v>140</v>
      </c>
      <c r="AG18" s="781" t="s">
        <v>140</v>
      </c>
      <c r="AH18" s="782" t="s">
        <v>140</v>
      </c>
      <c r="AI18" s="781" t="s">
        <v>140</v>
      </c>
      <c r="AJ18" s="783" t="s">
        <v>140</v>
      </c>
      <c r="AK18" s="783" t="s">
        <v>140</v>
      </c>
      <c r="AL18" s="783" t="s">
        <v>140</v>
      </c>
      <c r="AM18" s="783" t="s">
        <v>140</v>
      </c>
      <c r="AN18" s="177"/>
    </row>
    <row r="19" spans="1:40">
      <c r="A19" s="763">
        <v>5</v>
      </c>
      <c r="B19" s="764">
        <v>5</v>
      </c>
      <c r="C19" s="776" t="s">
        <v>1184</v>
      </c>
      <c r="D19" s="777" t="s">
        <v>1185</v>
      </c>
      <c r="E19" s="778" t="s">
        <v>1172</v>
      </c>
      <c r="F19" s="777" t="s">
        <v>248</v>
      </c>
      <c r="G19" s="778">
        <v>34684</v>
      </c>
      <c r="H19" s="777" t="s">
        <v>1185</v>
      </c>
      <c r="I19" s="778" t="s">
        <v>1172</v>
      </c>
      <c r="J19" s="777" t="s">
        <v>1173</v>
      </c>
      <c r="K19" s="778" t="s">
        <v>1173</v>
      </c>
      <c r="L19" s="777">
        <v>34684</v>
      </c>
      <c r="M19" s="778" t="s">
        <v>1186</v>
      </c>
      <c r="N19" s="779" t="s">
        <v>1187</v>
      </c>
      <c r="O19" s="778" t="s">
        <v>1188</v>
      </c>
      <c r="P19" s="777" t="s">
        <v>1189</v>
      </c>
      <c r="Q19" s="834" t="s">
        <v>140</v>
      </c>
      <c r="R19" s="782" t="s">
        <v>140</v>
      </c>
      <c r="S19" s="781" t="s">
        <v>140</v>
      </c>
      <c r="T19" s="782" t="s">
        <v>1177</v>
      </c>
      <c r="U19" s="781" t="s">
        <v>140</v>
      </c>
      <c r="V19" s="782" t="s">
        <v>1177</v>
      </c>
      <c r="W19" s="781" t="s">
        <v>140</v>
      </c>
      <c r="X19" s="782" t="s">
        <v>140</v>
      </c>
      <c r="Y19" s="781" t="s">
        <v>140</v>
      </c>
      <c r="Z19" s="782" t="s">
        <v>140</v>
      </c>
      <c r="AA19" s="781" t="s">
        <v>140</v>
      </c>
      <c r="AB19" s="782" t="s">
        <v>140</v>
      </c>
      <c r="AC19" s="781" t="s">
        <v>140</v>
      </c>
      <c r="AD19" s="782" t="s">
        <v>140</v>
      </c>
      <c r="AE19" s="781" t="s">
        <v>140</v>
      </c>
      <c r="AF19" s="782" t="s">
        <v>140</v>
      </c>
      <c r="AG19" s="781" t="s">
        <v>140</v>
      </c>
      <c r="AH19" s="782" t="s">
        <v>140</v>
      </c>
      <c r="AI19" s="781" t="s">
        <v>140</v>
      </c>
      <c r="AJ19" s="783" t="s">
        <v>140</v>
      </c>
      <c r="AK19" s="783" t="s">
        <v>140</v>
      </c>
      <c r="AL19" s="783" t="s">
        <v>140</v>
      </c>
      <c r="AM19" s="783" t="s">
        <v>140</v>
      </c>
      <c r="AN19" s="177"/>
    </row>
    <row r="20" spans="1:40">
      <c r="A20" s="763">
        <v>6</v>
      </c>
      <c r="B20" s="764">
        <v>5</v>
      </c>
      <c r="C20" s="765" t="s">
        <v>1184</v>
      </c>
      <c r="D20" s="766" t="s">
        <v>1185</v>
      </c>
      <c r="E20" s="767" t="s">
        <v>1172</v>
      </c>
      <c r="F20" s="766" t="s">
        <v>248</v>
      </c>
      <c r="G20" s="767">
        <v>34684</v>
      </c>
      <c r="H20" s="766" t="s">
        <v>1185</v>
      </c>
      <c r="I20" s="767" t="s">
        <v>1172</v>
      </c>
      <c r="J20" s="766" t="s">
        <v>1173</v>
      </c>
      <c r="K20" s="767" t="s">
        <v>136</v>
      </c>
      <c r="L20" s="766">
        <v>34684</v>
      </c>
      <c r="M20" s="767" t="s">
        <v>1186</v>
      </c>
      <c r="N20" s="768" t="s">
        <v>1187</v>
      </c>
      <c r="O20" s="767" t="s">
        <v>1188</v>
      </c>
      <c r="P20" s="777" t="s">
        <v>1189</v>
      </c>
      <c r="Q20" s="833" t="s">
        <v>140</v>
      </c>
      <c r="R20" s="771" t="s">
        <v>140</v>
      </c>
      <c r="S20" s="770" t="s">
        <v>140</v>
      </c>
      <c r="T20" s="771" t="s">
        <v>1177</v>
      </c>
      <c r="U20" s="770" t="s">
        <v>140</v>
      </c>
      <c r="V20" s="771" t="s">
        <v>1177</v>
      </c>
      <c r="W20" s="770" t="s">
        <v>140</v>
      </c>
      <c r="X20" s="771" t="s">
        <v>140</v>
      </c>
      <c r="Y20" s="770" t="s">
        <v>140</v>
      </c>
      <c r="Z20" s="771" t="s">
        <v>140</v>
      </c>
      <c r="AA20" s="770" t="s">
        <v>140</v>
      </c>
      <c r="AB20" s="771" t="s">
        <v>140</v>
      </c>
      <c r="AC20" s="770" t="s">
        <v>140</v>
      </c>
      <c r="AD20" s="771" t="s">
        <v>140</v>
      </c>
      <c r="AE20" s="770" t="s">
        <v>140</v>
      </c>
      <c r="AF20" s="771" t="s">
        <v>140</v>
      </c>
      <c r="AG20" s="770" t="s">
        <v>140</v>
      </c>
      <c r="AH20" s="771" t="s">
        <v>140</v>
      </c>
      <c r="AI20" s="770" t="s">
        <v>140</v>
      </c>
      <c r="AJ20" s="773" t="s">
        <v>140</v>
      </c>
      <c r="AK20" s="773" t="s">
        <v>140</v>
      </c>
      <c r="AL20" s="773" t="s">
        <v>140</v>
      </c>
      <c r="AM20" s="773" t="s">
        <v>140</v>
      </c>
      <c r="AN20" s="177"/>
    </row>
    <row r="21" spans="1:40">
      <c r="A21" s="763">
        <v>7</v>
      </c>
      <c r="B21" s="764">
        <v>5</v>
      </c>
      <c r="C21" s="776" t="s">
        <v>1190</v>
      </c>
      <c r="D21" s="777" t="s">
        <v>1191</v>
      </c>
      <c r="E21" s="778" t="s">
        <v>1192</v>
      </c>
      <c r="F21" s="777" t="s">
        <v>136</v>
      </c>
      <c r="G21" s="778">
        <v>34668</v>
      </c>
      <c r="H21" s="777" t="s">
        <v>1191</v>
      </c>
      <c r="I21" s="778" t="s">
        <v>1192</v>
      </c>
      <c r="J21" s="777" t="s">
        <v>136</v>
      </c>
      <c r="K21" s="778" t="s">
        <v>1173</v>
      </c>
      <c r="L21" s="777">
        <v>34668</v>
      </c>
      <c r="M21" s="778" t="s">
        <v>1193</v>
      </c>
      <c r="N21" s="779" t="s">
        <v>1194</v>
      </c>
      <c r="O21" s="778" t="s">
        <v>1195</v>
      </c>
      <c r="P21" s="777" t="s">
        <v>1195</v>
      </c>
      <c r="Q21" s="834" t="s">
        <v>140</v>
      </c>
      <c r="R21" s="782" t="s">
        <v>140</v>
      </c>
      <c r="S21" s="781" t="s">
        <v>140</v>
      </c>
      <c r="T21" s="782" t="s">
        <v>1177</v>
      </c>
      <c r="U21" s="781" t="s">
        <v>1177</v>
      </c>
      <c r="V21" s="782" t="s">
        <v>1177</v>
      </c>
      <c r="W21" s="781" t="s">
        <v>140</v>
      </c>
      <c r="X21" s="782" t="s">
        <v>140</v>
      </c>
      <c r="Y21" s="781" t="s">
        <v>140</v>
      </c>
      <c r="Z21" s="782" t="s">
        <v>140</v>
      </c>
      <c r="AA21" s="781" t="s">
        <v>140</v>
      </c>
      <c r="AB21" s="782" t="s">
        <v>140</v>
      </c>
      <c r="AC21" s="781" t="s">
        <v>140</v>
      </c>
      <c r="AD21" s="782" t="s">
        <v>140</v>
      </c>
      <c r="AE21" s="781" t="s">
        <v>140</v>
      </c>
      <c r="AF21" s="782" t="s">
        <v>140</v>
      </c>
      <c r="AG21" s="781" t="s">
        <v>140</v>
      </c>
      <c r="AH21" s="782" t="s">
        <v>140</v>
      </c>
      <c r="AI21" s="781" t="s">
        <v>140</v>
      </c>
      <c r="AJ21" s="783" t="s">
        <v>140</v>
      </c>
      <c r="AK21" s="783" t="s">
        <v>140</v>
      </c>
      <c r="AL21" s="783" t="s">
        <v>140</v>
      </c>
      <c r="AM21" s="783" t="s">
        <v>140</v>
      </c>
      <c r="AN21" s="177"/>
    </row>
    <row r="22" spans="1:40">
      <c r="A22" s="763">
        <v>8</v>
      </c>
      <c r="B22" s="764">
        <v>5</v>
      </c>
      <c r="C22" s="765" t="s">
        <v>1190</v>
      </c>
      <c r="D22" s="777" t="s">
        <v>1191</v>
      </c>
      <c r="E22" s="778" t="s">
        <v>1192</v>
      </c>
      <c r="F22" s="777" t="s">
        <v>136</v>
      </c>
      <c r="G22" s="778">
        <v>34668</v>
      </c>
      <c r="H22" s="777" t="s">
        <v>1191</v>
      </c>
      <c r="I22" s="778" t="s">
        <v>1192</v>
      </c>
      <c r="J22" s="777" t="s">
        <v>136</v>
      </c>
      <c r="K22" s="767" t="s">
        <v>136</v>
      </c>
      <c r="L22" s="766">
        <v>34668</v>
      </c>
      <c r="M22" s="767" t="s">
        <v>1193</v>
      </c>
      <c r="N22" s="768" t="s">
        <v>1194</v>
      </c>
      <c r="O22" s="767" t="s">
        <v>1195</v>
      </c>
      <c r="P22" s="766" t="s">
        <v>1195</v>
      </c>
      <c r="Q22" s="833" t="s">
        <v>140</v>
      </c>
      <c r="R22" s="771" t="s">
        <v>140</v>
      </c>
      <c r="S22" s="770" t="s">
        <v>140</v>
      </c>
      <c r="T22" s="771" t="s">
        <v>1177</v>
      </c>
      <c r="U22" s="770" t="s">
        <v>1177</v>
      </c>
      <c r="V22" s="771" t="s">
        <v>1177</v>
      </c>
      <c r="W22" s="770" t="s">
        <v>140</v>
      </c>
      <c r="X22" s="771" t="s">
        <v>140</v>
      </c>
      <c r="Y22" s="770" t="s">
        <v>140</v>
      </c>
      <c r="Z22" s="771" t="s">
        <v>140</v>
      </c>
      <c r="AA22" s="770" t="s">
        <v>140</v>
      </c>
      <c r="AB22" s="771" t="s">
        <v>140</v>
      </c>
      <c r="AC22" s="770" t="s">
        <v>140</v>
      </c>
      <c r="AD22" s="771" t="s">
        <v>140</v>
      </c>
      <c r="AE22" s="770" t="s">
        <v>140</v>
      </c>
      <c r="AF22" s="771" t="s">
        <v>140</v>
      </c>
      <c r="AG22" s="770" t="s">
        <v>140</v>
      </c>
      <c r="AH22" s="771" t="s">
        <v>140</v>
      </c>
      <c r="AI22" s="770" t="s">
        <v>140</v>
      </c>
      <c r="AJ22" s="773" t="s">
        <v>140</v>
      </c>
      <c r="AK22" s="773" t="s">
        <v>140</v>
      </c>
      <c r="AL22" s="773" t="s">
        <v>140</v>
      </c>
      <c r="AM22" s="773" t="s">
        <v>140</v>
      </c>
      <c r="AN22" s="177"/>
    </row>
    <row r="23" spans="1:40">
      <c r="A23" s="763">
        <v>9</v>
      </c>
      <c r="B23" s="764">
        <v>5</v>
      </c>
      <c r="C23" s="776" t="s">
        <v>1196</v>
      </c>
      <c r="D23" s="777" t="s">
        <v>1197</v>
      </c>
      <c r="E23" s="778" t="s">
        <v>1198</v>
      </c>
      <c r="F23" s="777" t="s">
        <v>248</v>
      </c>
      <c r="G23" s="778">
        <v>33710</v>
      </c>
      <c r="H23" s="777" t="s">
        <v>1197</v>
      </c>
      <c r="I23" s="778" t="s">
        <v>1198</v>
      </c>
      <c r="J23" s="777" t="s">
        <v>1173</v>
      </c>
      <c r="K23" s="778" t="s">
        <v>1173</v>
      </c>
      <c r="L23" s="777">
        <v>33710</v>
      </c>
      <c r="M23" s="778" t="s">
        <v>1199</v>
      </c>
      <c r="N23" s="779" t="s">
        <v>1200</v>
      </c>
      <c r="O23" s="778" t="s">
        <v>1201</v>
      </c>
      <c r="P23" s="777" t="s">
        <v>1201</v>
      </c>
      <c r="Q23" s="834" t="s">
        <v>140</v>
      </c>
      <c r="R23" s="782" t="s">
        <v>140</v>
      </c>
      <c r="S23" s="781" t="s">
        <v>140</v>
      </c>
      <c r="T23" s="782" t="s">
        <v>1177</v>
      </c>
      <c r="U23" s="781" t="s">
        <v>1177</v>
      </c>
      <c r="V23" s="782" t="s">
        <v>1177</v>
      </c>
      <c r="W23" s="781" t="s">
        <v>140</v>
      </c>
      <c r="X23" s="782" t="s">
        <v>140</v>
      </c>
      <c r="Y23" s="781" t="s">
        <v>140</v>
      </c>
      <c r="Z23" s="782" t="s">
        <v>140</v>
      </c>
      <c r="AA23" s="781" t="s">
        <v>140</v>
      </c>
      <c r="AB23" s="782" t="s">
        <v>140</v>
      </c>
      <c r="AC23" s="781" t="s">
        <v>140</v>
      </c>
      <c r="AD23" s="782" t="s">
        <v>140</v>
      </c>
      <c r="AE23" s="781" t="s">
        <v>140</v>
      </c>
      <c r="AF23" s="782" t="s">
        <v>140</v>
      </c>
      <c r="AG23" s="781" t="s">
        <v>140</v>
      </c>
      <c r="AH23" s="782" t="s">
        <v>140</v>
      </c>
      <c r="AI23" s="781" t="s">
        <v>140</v>
      </c>
      <c r="AJ23" s="783" t="s">
        <v>140</v>
      </c>
      <c r="AK23" s="783" t="s">
        <v>140</v>
      </c>
      <c r="AL23" s="783" t="s">
        <v>140</v>
      </c>
      <c r="AM23" s="783" t="s">
        <v>140</v>
      </c>
      <c r="AN23" s="177"/>
    </row>
    <row r="24" spans="1:40">
      <c r="A24" s="763">
        <v>10</v>
      </c>
      <c r="B24" s="764">
        <v>5</v>
      </c>
      <c r="C24" s="765" t="s">
        <v>1196</v>
      </c>
      <c r="D24" s="777" t="s">
        <v>1197</v>
      </c>
      <c r="E24" s="767" t="s">
        <v>1198</v>
      </c>
      <c r="F24" s="766" t="s">
        <v>248</v>
      </c>
      <c r="G24" s="767">
        <v>33710</v>
      </c>
      <c r="H24" s="777" t="s">
        <v>1197</v>
      </c>
      <c r="I24" s="767" t="s">
        <v>1198</v>
      </c>
      <c r="J24" s="766" t="s">
        <v>1173</v>
      </c>
      <c r="K24" s="767" t="s">
        <v>136</v>
      </c>
      <c r="L24" s="766">
        <v>33710</v>
      </c>
      <c r="M24" s="767" t="s">
        <v>1199</v>
      </c>
      <c r="N24" s="768" t="s">
        <v>1200</v>
      </c>
      <c r="O24" s="767" t="s">
        <v>1201</v>
      </c>
      <c r="P24" s="766" t="s">
        <v>1201</v>
      </c>
      <c r="Q24" s="833" t="s">
        <v>140</v>
      </c>
      <c r="R24" s="771" t="s">
        <v>140</v>
      </c>
      <c r="S24" s="770" t="s">
        <v>140</v>
      </c>
      <c r="T24" s="771" t="s">
        <v>1177</v>
      </c>
      <c r="U24" s="770" t="s">
        <v>1177</v>
      </c>
      <c r="V24" s="771" t="s">
        <v>1177</v>
      </c>
      <c r="W24" s="770" t="s">
        <v>140</v>
      </c>
      <c r="X24" s="771" t="s">
        <v>140</v>
      </c>
      <c r="Y24" s="770" t="s">
        <v>140</v>
      </c>
      <c r="Z24" s="771" t="s">
        <v>140</v>
      </c>
      <c r="AA24" s="770" t="s">
        <v>140</v>
      </c>
      <c r="AB24" s="771" t="s">
        <v>140</v>
      </c>
      <c r="AC24" s="770" t="s">
        <v>140</v>
      </c>
      <c r="AD24" s="771" t="s">
        <v>140</v>
      </c>
      <c r="AE24" s="770" t="s">
        <v>140</v>
      </c>
      <c r="AF24" s="771" t="s">
        <v>140</v>
      </c>
      <c r="AG24" s="770" t="s">
        <v>140</v>
      </c>
      <c r="AH24" s="771" t="s">
        <v>140</v>
      </c>
      <c r="AI24" s="770" t="s">
        <v>140</v>
      </c>
      <c r="AJ24" s="773" t="s">
        <v>140</v>
      </c>
      <c r="AK24" s="773" t="s">
        <v>140</v>
      </c>
      <c r="AL24" s="773" t="s">
        <v>140</v>
      </c>
      <c r="AM24" s="773" t="s">
        <v>140</v>
      </c>
      <c r="AN24" s="177"/>
    </row>
    <row r="25" spans="1:40">
      <c r="A25" s="763">
        <v>11</v>
      </c>
      <c r="B25" s="764">
        <v>5</v>
      </c>
      <c r="C25" s="776" t="s">
        <v>1202</v>
      </c>
      <c r="D25" s="777" t="s">
        <v>1203</v>
      </c>
      <c r="E25" s="778" t="s">
        <v>1204</v>
      </c>
      <c r="F25" s="777" t="s">
        <v>136</v>
      </c>
      <c r="G25" s="778">
        <v>33525</v>
      </c>
      <c r="H25" s="777" t="s">
        <v>1203</v>
      </c>
      <c r="I25" s="778" t="s">
        <v>1204</v>
      </c>
      <c r="J25" s="777" t="s">
        <v>136</v>
      </c>
      <c r="K25" s="778" t="s">
        <v>136</v>
      </c>
      <c r="L25" s="777">
        <v>33525</v>
      </c>
      <c r="M25" s="778" t="s">
        <v>1205</v>
      </c>
      <c r="N25" s="779" t="s">
        <v>1206</v>
      </c>
      <c r="O25" s="778" t="s">
        <v>1207</v>
      </c>
      <c r="P25" s="777" t="s">
        <v>1207</v>
      </c>
      <c r="Q25" s="834" t="s">
        <v>140</v>
      </c>
      <c r="R25" s="782" t="s">
        <v>140</v>
      </c>
      <c r="S25" s="781" t="s">
        <v>140</v>
      </c>
      <c r="T25" s="782" t="s">
        <v>1177</v>
      </c>
      <c r="U25" s="781" t="s">
        <v>1177</v>
      </c>
      <c r="V25" s="782" t="s">
        <v>1177</v>
      </c>
      <c r="W25" s="781" t="s">
        <v>140</v>
      </c>
      <c r="X25" s="782" t="s">
        <v>140</v>
      </c>
      <c r="Y25" s="781" t="s">
        <v>140</v>
      </c>
      <c r="Z25" s="782" t="s">
        <v>140</v>
      </c>
      <c r="AA25" s="781" t="s">
        <v>140</v>
      </c>
      <c r="AB25" s="782" t="s">
        <v>140</v>
      </c>
      <c r="AC25" s="781" t="s">
        <v>140</v>
      </c>
      <c r="AD25" s="782" t="s">
        <v>140</v>
      </c>
      <c r="AE25" s="781" t="s">
        <v>140</v>
      </c>
      <c r="AF25" s="782" t="s">
        <v>140</v>
      </c>
      <c r="AG25" s="781" t="s">
        <v>140</v>
      </c>
      <c r="AH25" s="782" t="s">
        <v>140</v>
      </c>
      <c r="AI25" s="781" t="s">
        <v>140</v>
      </c>
      <c r="AJ25" s="783" t="s">
        <v>140</v>
      </c>
      <c r="AK25" s="783" t="s">
        <v>140</v>
      </c>
      <c r="AL25" s="783" t="s">
        <v>140</v>
      </c>
      <c r="AM25" s="783" t="s">
        <v>140</v>
      </c>
      <c r="AN25" s="177"/>
    </row>
    <row r="26" spans="1:40">
      <c r="A26" s="763">
        <v>12</v>
      </c>
      <c r="B26" s="764">
        <v>5</v>
      </c>
      <c r="C26" s="776" t="s">
        <v>1208</v>
      </c>
      <c r="D26" s="777" t="s">
        <v>1209</v>
      </c>
      <c r="E26" s="778" t="s">
        <v>1210</v>
      </c>
      <c r="F26" s="777" t="s">
        <v>136</v>
      </c>
      <c r="G26" s="778">
        <v>33702</v>
      </c>
      <c r="H26" s="777" t="s">
        <v>1209</v>
      </c>
      <c r="I26" s="778" t="s">
        <v>1210</v>
      </c>
      <c r="J26" s="777" t="s">
        <v>136</v>
      </c>
      <c r="K26" s="778" t="s">
        <v>136</v>
      </c>
      <c r="L26" s="777">
        <v>33702</v>
      </c>
      <c r="M26" s="778" t="s">
        <v>1211</v>
      </c>
      <c r="N26" s="779" t="s">
        <v>1212</v>
      </c>
      <c r="O26" s="778" t="s">
        <v>1213</v>
      </c>
      <c r="P26" s="777" t="s">
        <v>1214</v>
      </c>
      <c r="Q26" s="834" t="s">
        <v>140</v>
      </c>
      <c r="R26" s="782" t="s">
        <v>140</v>
      </c>
      <c r="S26" s="781" t="s">
        <v>1177</v>
      </c>
      <c r="T26" s="782"/>
      <c r="U26" s="781" t="s">
        <v>1177</v>
      </c>
      <c r="V26" s="782" t="s">
        <v>1177</v>
      </c>
      <c r="W26" s="781" t="s">
        <v>140</v>
      </c>
      <c r="X26" s="782" t="s">
        <v>140</v>
      </c>
      <c r="Y26" s="781" t="s">
        <v>140</v>
      </c>
      <c r="Z26" s="782" t="s">
        <v>140</v>
      </c>
      <c r="AA26" s="781" t="s">
        <v>1177</v>
      </c>
      <c r="AB26" s="782" t="s">
        <v>140</v>
      </c>
      <c r="AC26" s="781" t="s">
        <v>140</v>
      </c>
      <c r="AD26" s="782" t="s">
        <v>140</v>
      </c>
      <c r="AE26" s="781" t="s">
        <v>140</v>
      </c>
      <c r="AF26" s="782" t="s">
        <v>140</v>
      </c>
      <c r="AG26" s="781" t="s">
        <v>140</v>
      </c>
      <c r="AH26" s="782" t="s">
        <v>140</v>
      </c>
      <c r="AI26" s="781" t="s">
        <v>140</v>
      </c>
      <c r="AJ26" s="783" t="s">
        <v>140</v>
      </c>
      <c r="AK26" s="783" t="s">
        <v>140</v>
      </c>
      <c r="AL26" s="783" t="s">
        <v>140</v>
      </c>
      <c r="AM26" s="783" t="s">
        <v>140</v>
      </c>
      <c r="AN26" s="177"/>
    </row>
    <row r="27" spans="1:40">
      <c r="A27" s="763">
        <v>13</v>
      </c>
      <c r="B27" s="764">
        <v>5</v>
      </c>
      <c r="C27" s="765" t="s">
        <v>1208</v>
      </c>
      <c r="D27" s="766" t="s">
        <v>1209</v>
      </c>
      <c r="E27" s="767" t="s">
        <v>1210</v>
      </c>
      <c r="F27" s="766" t="s">
        <v>248</v>
      </c>
      <c r="G27" s="767">
        <v>33702</v>
      </c>
      <c r="H27" s="766" t="s">
        <v>1209</v>
      </c>
      <c r="I27" s="767" t="s">
        <v>1210</v>
      </c>
      <c r="J27" s="766" t="s">
        <v>248</v>
      </c>
      <c r="K27" s="767" t="s">
        <v>1173</v>
      </c>
      <c r="L27" s="766">
        <v>33702</v>
      </c>
      <c r="M27" s="767" t="s">
        <v>1211</v>
      </c>
      <c r="N27" s="768" t="s">
        <v>1212</v>
      </c>
      <c r="O27" s="767" t="s">
        <v>1213</v>
      </c>
      <c r="P27" s="777" t="s">
        <v>1214</v>
      </c>
      <c r="Q27" s="833" t="s">
        <v>140</v>
      </c>
      <c r="R27" s="771" t="s">
        <v>140</v>
      </c>
      <c r="S27" s="770" t="s">
        <v>140</v>
      </c>
      <c r="T27" s="771" t="s">
        <v>140</v>
      </c>
      <c r="U27" s="770" t="s">
        <v>140</v>
      </c>
      <c r="V27" s="771" t="s">
        <v>140</v>
      </c>
      <c r="W27" s="770" t="s">
        <v>140</v>
      </c>
      <c r="X27" s="771" t="s">
        <v>140</v>
      </c>
      <c r="Y27" s="770" t="s">
        <v>140</v>
      </c>
      <c r="Z27" s="771" t="s">
        <v>140</v>
      </c>
      <c r="AA27" s="770" t="s">
        <v>140</v>
      </c>
      <c r="AB27" s="771" t="s">
        <v>140</v>
      </c>
      <c r="AC27" s="770" t="s">
        <v>140</v>
      </c>
      <c r="AD27" s="771" t="s">
        <v>140</v>
      </c>
      <c r="AE27" s="770" t="s">
        <v>140</v>
      </c>
      <c r="AF27" s="771" t="s">
        <v>140</v>
      </c>
      <c r="AG27" s="770" t="s">
        <v>140</v>
      </c>
      <c r="AH27" s="771" t="s">
        <v>140</v>
      </c>
      <c r="AI27" s="770" t="s">
        <v>140</v>
      </c>
      <c r="AJ27" s="773" t="s">
        <v>140</v>
      </c>
      <c r="AK27" s="773" t="s">
        <v>140</v>
      </c>
      <c r="AL27" s="773" t="s">
        <v>140</v>
      </c>
      <c r="AM27" s="773" t="s">
        <v>140</v>
      </c>
      <c r="AN27" s="177"/>
    </row>
    <row r="28" spans="1:40">
      <c r="A28" s="763">
        <v>14</v>
      </c>
      <c r="B28" s="764">
        <v>5</v>
      </c>
      <c r="C28" s="765" t="s">
        <v>1215</v>
      </c>
      <c r="D28" s="766" t="s">
        <v>1216</v>
      </c>
      <c r="E28" s="767" t="s">
        <v>1217</v>
      </c>
      <c r="F28" s="766" t="s">
        <v>248</v>
      </c>
      <c r="G28" s="767">
        <v>33756</v>
      </c>
      <c r="H28" s="766" t="s">
        <v>1216</v>
      </c>
      <c r="I28" s="778" t="s">
        <v>1217</v>
      </c>
      <c r="J28" s="777" t="s">
        <v>248</v>
      </c>
      <c r="K28" s="767" t="s">
        <v>1173</v>
      </c>
      <c r="L28" s="766">
        <v>33756</v>
      </c>
      <c r="M28" s="767" t="s">
        <v>1218</v>
      </c>
      <c r="N28" s="768" t="s">
        <v>1206</v>
      </c>
      <c r="O28" s="767"/>
      <c r="P28" s="766" t="s">
        <v>1219</v>
      </c>
      <c r="Q28" s="833"/>
      <c r="R28" s="771"/>
      <c r="S28" s="770"/>
      <c r="T28" s="771" t="s">
        <v>1177</v>
      </c>
      <c r="U28" s="770" t="s">
        <v>1177</v>
      </c>
      <c r="V28" s="771" t="s">
        <v>1177</v>
      </c>
      <c r="W28" s="770"/>
      <c r="X28" s="771"/>
      <c r="Y28" s="770"/>
      <c r="Z28" s="771"/>
      <c r="AA28" s="770"/>
      <c r="AB28" s="771"/>
      <c r="AC28" s="770"/>
      <c r="AD28" s="771"/>
      <c r="AE28" s="770"/>
      <c r="AF28" s="771"/>
      <c r="AG28" s="770"/>
      <c r="AH28" s="771"/>
      <c r="AI28" s="770"/>
      <c r="AJ28" s="773"/>
      <c r="AK28" s="773"/>
      <c r="AL28" s="773"/>
      <c r="AM28" s="773"/>
      <c r="AN28" s="177"/>
    </row>
    <row r="29" spans="1:40">
      <c r="A29" s="763">
        <v>15</v>
      </c>
      <c r="B29" s="764">
        <v>5</v>
      </c>
      <c r="C29" s="765" t="s">
        <v>1215</v>
      </c>
      <c r="D29" s="766" t="s">
        <v>1216</v>
      </c>
      <c r="E29" s="767" t="s">
        <v>1217</v>
      </c>
      <c r="F29" s="766" t="s">
        <v>248</v>
      </c>
      <c r="G29" s="767">
        <v>33756</v>
      </c>
      <c r="H29" s="766" t="s">
        <v>1216</v>
      </c>
      <c r="I29" s="778" t="s">
        <v>1217</v>
      </c>
      <c r="J29" s="777" t="s">
        <v>248</v>
      </c>
      <c r="K29" s="767" t="s">
        <v>1220</v>
      </c>
      <c r="L29" s="766">
        <v>33756</v>
      </c>
      <c r="M29" s="767" t="s">
        <v>1218</v>
      </c>
      <c r="N29" s="768" t="s">
        <v>1206</v>
      </c>
      <c r="O29" s="767"/>
      <c r="P29" s="766" t="s">
        <v>1219</v>
      </c>
      <c r="Q29" s="833"/>
      <c r="R29" s="771"/>
      <c r="S29" s="770"/>
      <c r="T29" s="771" t="s">
        <v>1177</v>
      </c>
      <c r="U29" s="770" t="s">
        <v>1177</v>
      </c>
      <c r="V29" s="771" t="s">
        <v>1177</v>
      </c>
      <c r="W29" s="770"/>
      <c r="X29" s="771"/>
      <c r="Y29" s="770"/>
      <c r="Z29" s="771"/>
      <c r="AA29" s="770"/>
      <c r="AB29" s="771"/>
      <c r="AC29" s="770"/>
      <c r="AD29" s="771"/>
      <c r="AE29" s="770"/>
      <c r="AF29" s="771"/>
      <c r="AG29" s="770"/>
      <c r="AH29" s="771"/>
      <c r="AI29" s="770"/>
      <c r="AJ29" s="773"/>
      <c r="AK29" s="773"/>
      <c r="AL29" s="773"/>
      <c r="AM29" s="773"/>
      <c r="AN29" s="177"/>
    </row>
    <row r="30" spans="1:40">
      <c r="A30" s="763">
        <v>16</v>
      </c>
      <c r="B30" s="764">
        <v>5</v>
      </c>
      <c r="C30" s="776" t="s">
        <v>1221</v>
      </c>
      <c r="D30" s="777" t="s">
        <v>1222</v>
      </c>
      <c r="E30" s="778" t="s">
        <v>1223</v>
      </c>
      <c r="F30" s="777" t="s">
        <v>136</v>
      </c>
      <c r="G30" s="778">
        <v>33605</v>
      </c>
      <c r="H30" s="777" t="s">
        <v>1222</v>
      </c>
      <c r="I30" s="778" t="s">
        <v>1223</v>
      </c>
      <c r="J30" s="777" t="s">
        <v>136</v>
      </c>
      <c r="K30" s="778" t="s">
        <v>136</v>
      </c>
      <c r="L30" s="777">
        <v>33605</v>
      </c>
      <c r="M30" s="778" t="s">
        <v>1224</v>
      </c>
      <c r="N30" s="779" t="s">
        <v>1225</v>
      </c>
      <c r="O30" s="778" t="s">
        <v>140</v>
      </c>
      <c r="P30" s="777" t="s">
        <v>1226</v>
      </c>
      <c r="Q30" s="834" t="s">
        <v>140</v>
      </c>
      <c r="R30" s="782" t="s">
        <v>140</v>
      </c>
      <c r="S30" s="781" t="s">
        <v>1177</v>
      </c>
      <c r="T30" s="782" t="s">
        <v>140</v>
      </c>
      <c r="U30" s="781" t="s">
        <v>140</v>
      </c>
      <c r="V30" s="782" t="s">
        <v>140</v>
      </c>
      <c r="W30" s="781" t="s">
        <v>140</v>
      </c>
      <c r="X30" s="782" t="s">
        <v>140</v>
      </c>
      <c r="Y30" s="781" t="s">
        <v>1177</v>
      </c>
      <c r="Z30" s="782" t="s">
        <v>140</v>
      </c>
      <c r="AA30" s="781" t="s">
        <v>1177</v>
      </c>
      <c r="AB30" s="782" t="s">
        <v>140</v>
      </c>
      <c r="AC30" s="781" t="s">
        <v>140</v>
      </c>
      <c r="AD30" s="782" t="s">
        <v>140</v>
      </c>
      <c r="AE30" s="781" t="s">
        <v>140</v>
      </c>
      <c r="AF30" s="782" t="s">
        <v>140</v>
      </c>
      <c r="AG30" s="781" t="s">
        <v>140</v>
      </c>
      <c r="AH30" s="782" t="s">
        <v>140</v>
      </c>
      <c r="AI30" s="781" t="s">
        <v>140</v>
      </c>
      <c r="AJ30" s="783" t="s">
        <v>140</v>
      </c>
      <c r="AK30" s="783" t="s">
        <v>140</v>
      </c>
      <c r="AL30" s="783" t="s">
        <v>140</v>
      </c>
      <c r="AM30" s="783" t="s">
        <v>140</v>
      </c>
      <c r="AN30" s="177"/>
    </row>
    <row r="31" spans="1:40">
      <c r="A31" s="763">
        <v>17</v>
      </c>
      <c r="B31" s="764">
        <v>5</v>
      </c>
      <c r="C31" s="776" t="s">
        <v>1227</v>
      </c>
      <c r="D31" s="777" t="s">
        <v>1228</v>
      </c>
      <c r="E31" s="778" t="s">
        <v>1210</v>
      </c>
      <c r="F31" s="777" t="s">
        <v>248</v>
      </c>
      <c r="G31" s="778">
        <v>33713</v>
      </c>
      <c r="H31" s="777" t="s">
        <v>1228</v>
      </c>
      <c r="I31" s="778" t="s">
        <v>1210</v>
      </c>
      <c r="J31" s="777" t="s">
        <v>1173</v>
      </c>
      <c r="K31" s="778" t="s">
        <v>1173</v>
      </c>
      <c r="L31" s="777">
        <v>33713</v>
      </c>
      <c r="M31" s="778" t="s">
        <v>1229</v>
      </c>
      <c r="N31" s="779" t="s">
        <v>1230</v>
      </c>
      <c r="O31" s="778" t="s">
        <v>1231</v>
      </c>
      <c r="P31" s="777" t="s">
        <v>1231</v>
      </c>
      <c r="Q31" s="834" t="s">
        <v>140</v>
      </c>
      <c r="R31" s="782" t="s">
        <v>140</v>
      </c>
      <c r="S31" s="781" t="s">
        <v>140</v>
      </c>
      <c r="T31" s="782" t="s">
        <v>1177</v>
      </c>
      <c r="U31" s="781" t="s">
        <v>1177</v>
      </c>
      <c r="V31" s="782" t="s">
        <v>1177</v>
      </c>
      <c r="W31" s="781" t="s">
        <v>140</v>
      </c>
      <c r="X31" s="782" t="s">
        <v>140</v>
      </c>
      <c r="Y31" s="781" t="s">
        <v>140</v>
      </c>
      <c r="Z31" s="782" t="s">
        <v>140</v>
      </c>
      <c r="AA31" s="781" t="s">
        <v>140</v>
      </c>
      <c r="AB31" s="782" t="s">
        <v>140</v>
      </c>
      <c r="AC31" s="781" t="s">
        <v>140</v>
      </c>
      <c r="AD31" s="782" t="s">
        <v>140</v>
      </c>
      <c r="AE31" s="781" t="s">
        <v>140</v>
      </c>
      <c r="AF31" s="782" t="s">
        <v>140</v>
      </c>
      <c r="AG31" s="781" t="s">
        <v>140</v>
      </c>
      <c r="AH31" s="782" t="s">
        <v>140</v>
      </c>
      <c r="AI31" s="781" t="s">
        <v>140</v>
      </c>
      <c r="AJ31" s="783" t="s">
        <v>140</v>
      </c>
      <c r="AK31" s="783" t="s">
        <v>140</v>
      </c>
      <c r="AL31" s="783" t="s">
        <v>140</v>
      </c>
      <c r="AM31" s="783" t="s">
        <v>140</v>
      </c>
      <c r="AN31" s="177"/>
    </row>
    <row r="32" spans="1:40">
      <c r="A32" s="763">
        <v>18</v>
      </c>
      <c r="B32" s="764">
        <v>5</v>
      </c>
      <c r="C32" s="765" t="s">
        <v>1227</v>
      </c>
      <c r="D32" s="766" t="s">
        <v>1228</v>
      </c>
      <c r="E32" s="767" t="s">
        <v>1210</v>
      </c>
      <c r="F32" s="766" t="s">
        <v>248</v>
      </c>
      <c r="G32" s="767">
        <v>33713</v>
      </c>
      <c r="H32" s="766" t="s">
        <v>1228</v>
      </c>
      <c r="I32" s="767" t="s">
        <v>1210</v>
      </c>
      <c r="J32" s="766" t="s">
        <v>1173</v>
      </c>
      <c r="K32" s="767" t="s">
        <v>136</v>
      </c>
      <c r="L32" s="766">
        <v>33713</v>
      </c>
      <c r="M32" s="767" t="s">
        <v>1229</v>
      </c>
      <c r="N32" s="779" t="s">
        <v>1230</v>
      </c>
      <c r="O32" s="767" t="s">
        <v>1231</v>
      </c>
      <c r="P32" s="766" t="s">
        <v>1231</v>
      </c>
      <c r="Q32" s="833" t="s">
        <v>140</v>
      </c>
      <c r="R32" s="771" t="s">
        <v>140</v>
      </c>
      <c r="S32" s="770" t="s">
        <v>140</v>
      </c>
      <c r="T32" s="771" t="s">
        <v>1177</v>
      </c>
      <c r="U32" s="770" t="s">
        <v>1177</v>
      </c>
      <c r="V32" s="771" t="s">
        <v>1177</v>
      </c>
      <c r="W32" s="770" t="s">
        <v>140</v>
      </c>
      <c r="X32" s="771" t="s">
        <v>140</v>
      </c>
      <c r="Y32" s="770" t="s">
        <v>140</v>
      </c>
      <c r="Z32" s="771" t="s">
        <v>140</v>
      </c>
      <c r="AA32" s="770" t="s">
        <v>140</v>
      </c>
      <c r="AB32" s="771" t="s">
        <v>140</v>
      </c>
      <c r="AC32" s="770" t="s">
        <v>140</v>
      </c>
      <c r="AD32" s="771" t="s">
        <v>140</v>
      </c>
      <c r="AE32" s="770" t="s">
        <v>140</v>
      </c>
      <c r="AF32" s="771" t="s">
        <v>140</v>
      </c>
      <c r="AG32" s="770" t="s">
        <v>140</v>
      </c>
      <c r="AH32" s="771" t="s">
        <v>140</v>
      </c>
      <c r="AI32" s="770" t="s">
        <v>140</v>
      </c>
      <c r="AJ32" s="773" t="s">
        <v>140</v>
      </c>
      <c r="AK32" s="773" t="s">
        <v>140</v>
      </c>
      <c r="AL32" s="773" t="s">
        <v>140</v>
      </c>
      <c r="AM32" s="773" t="s">
        <v>140</v>
      </c>
      <c r="AN32" s="177"/>
    </row>
    <row r="33" spans="1:40">
      <c r="A33" s="763">
        <v>19</v>
      </c>
      <c r="B33" s="764">
        <v>5</v>
      </c>
      <c r="C33" s="776" t="s">
        <v>1232</v>
      </c>
      <c r="D33" s="777" t="s">
        <v>1233</v>
      </c>
      <c r="E33" s="778" t="s">
        <v>1217</v>
      </c>
      <c r="F33" s="777" t="s">
        <v>248</v>
      </c>
      <c r="G33" s="778">
        <v>33760</v>
      </c>
      <c r="H33" s="777" t="s">
        <v>1233</v>
      </c>
      <c r="I33" s="778" t="s">
        <v>1217</v>
      </c>
      <c r="J33" s="777" t="s">
        <v>1173</v>
      </c>
      <c r="K33" s="778" t="s">
        <v>1173</v>
      </c>
      <c r="L33" s="777">
        <v>33760</v>
      </c>
      <c r="M33" s="778" t="s">
        <v>1234</v>
      </c>
      <c r="N33" s="779" t="s">
        <v>1235</v>
      </c>
      <c r="O33" s="778" t="s">
        <v>1236</v>
      </c>
      <c r="P33" s="777" t="s">
        <v>1237</v>
      </c>
      <c r="Q33" s="834" t="s">
        <v>140</v>
      </c>
      <c r="R33" s="782" t="s">
        <v>140</v>
      </c>
      <c r="S33" s="781" t="s">
        <v>140</v>
      </c>
      <c r="T33" s="782" t="s">
        <v>1177</v>
      </c>
      <c r="U33" s="781" t="s">
        <v>140</v>
      </c>
      <c r="V33" s="782" t="s">
        <v>1177</v>
      </c>
      <c r="W33" s="781" t="s">
        <v>140</v>
      </c>
      <c r="X33" s="782" t="s">
        <v>140</v>
      </c>
      <c r="Y33" s="781" t="s">
        <v>140</v>
      </c>
      <c r="Z33" s="782" t="s">
        <v>140</v>
      </c>
      <c r="AA33" s="781" t="s">
        <v>140</v>
      </c>
      <c r="AB33" s="782" t="s">
        <v>140</v>
      </c>
      <c r="AC33" s="781" t="s">
        <v>140</v>
      </c>
      <c r="AD33" s="782" t="s">
        <v>140</v>
      </c>
      <c r="AE33" s="781" t="s">
        <v>140</v>
      </c>
      <c r="AF33" s="782" t="s">
        <v>140</v>
      </c>
      <c r="AG33" s="781" t="s">
        <v>140</v>
      </c>
      <c r="AH33" s="782" t="s">
        <v>140</v>
      </c>
      <c r="AI33" s="781" t="s">
        <v>140</v>
      </c>
      <c r="AJ33" s="783" t="s">
        <v>140</v>
      </c>
      <c r="AK33" s="783" t="s">
        <v>140</v>
      </c>
      <c r="AL33" s="783" t="s">
        <v>140</v>
      </c>
      <c r="AM33" s="783" t="s">
        <v>140</v>
      </c>
      <c r="AN33" s="177"/>
    </row>
    <row r="34" spans="1:40">
      <c r="A34" s="763">
        <v>20</v>
      </c>
      <c r="B34" s="764">
        <v>5</v>
      </c>
      <c r="C34" s="776" t="s">
        <v>1238</v>
      </c>
      <c r="D34" s="777" t="s">
        <v>1239</v>
      </c>
      <c r="E34" s="778" t="s">
        <v>1217</v>
      </c>
      <c r="F34" s="777" t="s">
        <v>248</v>
      </c>
      <c r="G34" s="778">
        <v>33763</v>
      </c>
      <c r="H34" s="777" t="s">
        <v>1239</v>
      </c>
      <c r="I34" s="778" t="s">
        <v>1217</v>
      </c>
      <c r="J34" s="777" t="s">
        <v>248</v>
      </c>
      <c r="K34" s="778" t="s">
        <v>1173</v>
      </c>
      <c r="L34" s="777">
        <v>33763</v>
      </c>
      <c r="M34" s="778" t="s">
        <v>1240</v>
      </c>
      <c r="N34" s="779" t="s">
        <v>560</v>
      </c>
      <c r="O34" s="778"/>
      <c r="P34" s="777" t="s">
        <v>1241</v>
      </c>
      <c r="Q34" s="834"/>
      <c r="R34" s="782"/>
      <c r="S34" s="781"/>
      <c r="T34" s="782" t="s">
        <v>1177</v>
      </c>
      <c r="U34" s="781" t="s">
        <v>1177</v>
      </c>
      <c r="V34" s="782" t="s">
        <v>1177</v>
      </c>
      <c r="W34" s="781"/>
      <c r="X34" s="782" t="s">
        <v>1177</v>
      </c>
      <c r="Y34" s="781"/>
      <c r="Z34" s="782"/>
      <c r="AA34" s="781"/>
      <c r="AB34" s="782"/>
      <c r="AC34" s="781"/>
      <c r="AD34" s="782"/>
      <c r="AE34" s="781"/>
      <c r="AF34" s="782"/>
      <c r="AG34" s="781"/>
      <c r="AH34" s="782"/>
      <c r="AI34" s="781"/>
      <c r="AJ34" s="783"/>
      <c r="AK34" s="783"/>
      <c r="AL34" s="783"/>
      <c r="AM34" s="783"/>
      <c r="AN34" s="177"/>
    </row>
    <row r="35" spans="1:40">
      <c r="A35" s="763">
        <v>21</v>
      </c>
      <c r="B35" s="764">
        <v>5</v>
      </c>
      <c r="C35" s="776" t="s">
        <v>1238</v>
      </c>
      <c r="D35" s="777" t="s">
        <v>1239</v>
      </c>
      <c r="E35" s="778" t="s">
        <v>1217</v>
      </c>
      <c r="F35" s="777" t="s">
        <v>248</v>
      </c>
      <c r="G35" s="778">
        <v>33763</v>
      </c>
      <c r="H35" s="777" t="s">
        <v>1239</v>
      </c>
      <c r="I35" s="778" t="s">
        <v>1217</v>
      </c>
      <c r="J35" s="777" t="s">
        <v>248</v>
      </c>
      <c r="K35" s="778" t="s">
        <v>1220</v>
      </c>
      <c r="L35" s="777">
        <v>33763</v>
      </c>
      <c r="M35" s="778" t="s">
        <v>1240</v>
      </c>
      <c r="N35" s="779" t="s">
        <v>560</v>
      </c>
      <c r="O35" s="778"/>
      <c r="P35" s="777" t="s">
        <v>1241</v>
      </c>
      <c r="Q35" s="834"/>
      <c r="R35" s="782"/>
      <c r="S35" s="781"/>
      <c r="T35" s="782" t="s">
        <v>1177</v>
      </c>
      <c r="U35" s="781" t="s">
        <v>1177</v>
      </c>
      <c r="V35" s="782" t="s">
        <v>1177</v>
      </c>
      <c r="W35" s="781"/>
      <c r="X35" s="782" t="s">
        <v>1177</v>
      </c>
      <c r="Y35" s="781"/>
      <c r="Z35" s="782"/>
      <c r="AA35" s="781"/>
      <c r="AB35" s="782"/>
      <c r="AC35" s="781"/>
      <c r="AD35" s="782"/>
      <c r="AE35" s="781"/>
      <c r="AF35" s="782"/>
      <c r="AG35" s="781"/>
      <c r="AH35" s="782"/>
      <c r="AI35" s="781"/>
      <c r="AJ35" s="783"/>
      <c r="AK35" s="783"/>
      <c r="AL35" s="783"/>
      <c r="AM35" s="783"/>
      <c r="AN35" s="177"/>
    </row>
    <row r="36" spans="1:40">
      <c r="A36" s="763">
        <v>22</v>
      </c>
      <c r="B36" s="764">
        <v>5</v>
      </c>
      <c r="C36" s="776" t="s">
        <v>1242</v>
      </c>
      <c r="D36" s="777" t="s">
        <v>1243</v>
      </c>
      <c r="E36" s="778" t="s">
        <v>1244</v>
      </c>
      <c r="F36" s="777" t="s">
        <v>1245</v>
      </c>
      <c r="G36" s="778">
        <v>30374</v>
      </c>
      <c r="H36" s="777" t="s">
        <v>1246</v>
      </c>
      <c r="I36" s="778" t="s">
        <v>1217</v>
      </c>
      <c r="J36" s="777" t="s">
        <v>1173</v>
      </c>
      <c r="K36" s="778" t="s">
        <v>1173</v>
      </c>
      <c r="L36" s="777">
        <v>33759</v>
      </c>
      <c r="M36" s="778" t="s">
        <v>1247</v>
      </c>
      <c r="N36" s="779" t="s">
        <v>1248</v>
      </c>
      <c r="O36" s="778" t="s">
        <v>1249</v>
      </c>
      <c r="P36" s="777" t="s">
        <v>1250</v>
      </c>
      <c r="Q36" s="834" t="s">
        <v>140</v>
      </c>
      <c r="R36" s="782" t="s">
        <v>140</v>
      </c>
      <c r="S36" s="781" t="s">
        <v>140</v>
      </c>
      <c r="T36" s="782" t="s">
        <v>1177</v>
      </c>
      <c r="U36" s="781" t="s">
        <v>1177</v>
      </c>
      <c r="V36" s="782" t="s">
        <v>1177</v>
      </c>
      <c r="W36" s="781" t="s">
        <v>140</v>
      </c>
      <c r="X36" s="782" t="s">
        <v>140</v>
      </c>
      <c r="Y36" s="781" t="s">
        <v>140</v>
      </c>
      <c r="Z36" s="782" t="s">
        <v>140</v>
      </c>
      <c r="AA36" s="781" t="s">
        <v>140</v>
      </c>
      <c r="AB36" s="782" t="s">
        <v>140</v>
      </c>
      <c r="AC36" s="781" t="s">
        <v>140</v>
      </c>
      <c r="AD36" s="782" t="s">
        <v>140</v>
      </c>
      <c r="AE36" s="781" t="s">
        <v>140</v>
      </c>
      <c r="AF36" s="782" t="s">
        <v>140</v>
      </c>
      <c r="AG36" s="781" t="s">
        <v>140</v>
      </c>
      <c r="AH36" s="782" t="s">
        <v>140</v>
      </c>
      <c r="AI36" s="781" t="s">
        <v>140</v>
      </c>
      <c r="AJ36" s="783" t="s">
        <v>140</v>
      </c>
      <c r="AK36" s="783" t="s">
        <v>140</v>
      </c>
      <c r="AL36" s="783" t="s">
        <v>140</v>
      </c>
      <c r="AM36" s="783" t="s">
        <v>140</v>
      </c>
      <c r="AN36" s="177"/>
    </row>
    <row r="37" spans="1:40" ht="13.5" customHeight="1">
      <c r="A37" s="763">
        <v>23</v>
      </c>
      <c r="B37" s="764">
        <v>5</v>
      </c>
      <c r="C37" s="765" t="s">
        <v>1242</v>
      </c>
      <c r="D37" s="777" t="s">
        <v>1243</v>
      </c>
      <c r="E37" s="778" t="s">
        <v>1244</v>
      </c>
      <c r="F37" s="777" t="s">
        <v>1245</v>
      </c>
      <c r="G37" s="778">
        <v>30374</v>
      </c>
      <c r="H37" s="777" t="s">
        <v>1246</v>
      </c>
      <c r="I37" s="778" t="s">
        <v>1217</v>
      </c>
      <c r="J37" s="777" t="s">
        <v>1173</v>
      </c>
      <c r="K37" s="767" t="s">
        <v>136</v>
      </c>
      <c r="L37" s="777">
        <v>33759</v>
      </c>
      <c r="M37" s="767" t="s">
        <v>1247</v>
      </c>
      <c r="N37" s="768" t="s">
        <v>1248</v>
      </c>
      <c r="O37" s="778" t="s">
        <v>1249</v>
      </c>
      <c r="P37" s="777" t="s">
        <v>1250</v>
      </c>
      <c r="Q37" s="833" t="s">
        <v>140</v>
      </c>
      <c r="R37" s="771" t="s">
        <v>140</v>
      </c>
      <c r="S37" s="770" t="s">
        <v>140</v>
      </c>
      <c r="T37" s="771" t="s">
        <v>1177</v>
      </c>
      <c r="U37" s="770" t="s">
        <v>1177</v>
      </c>
      <c r="V37" s="771" t="s">
        <v>1177</v>
      </c>
      <c r="W37" s="770" t="s">
        <v>140</v>
      </c>
      <c r="X37" s="771" t="s">
        <v>140</v>
      </c>
      <c r="Y37" s="770" t="s">
        <v>140</v>
      </c>
      <c r="Z37" s="771" t="s">
        <v>140</v>
      </c>
      <c r="AA37" s="770" t="s">
        <v>140</v>
      </c>
      <c r="AB37" s="771" t="s">
        <v>140</v>
      </c>
      <c r="AC37" s="770" t="s">
        <v>140</v>
      </c>
      <c r="AD37" s="771" t="s">
        <v>140</v>
      </c>
      <c r="AE37" s="770" t="s">
        <v>140</v>
      </c>
      <c r="AF37" s="771" t="s">
        <v>140</v>
      </c>
      <c r="AG37" s="770" t="s">
        <v>140</v>
      </c>
      <c r="AH37" s="771" t="s">
        <v>140</v>
      </c>
      <c r="AI37" s="770" t="s">
        <v>140</v>
      </c>
      <c r="AJ37" s="773" t="s">
        <v>140</v>
      </c>
      <c r="AK37" s="773" t="s">
        <v>140</v>
      </c>
      <c r="AL37" s="773" t="s">
        <v>140</v>
      </c>
      <c r="AM37" s="773" t="s">
        <v>140</v>
      </c>
      <c r="AN37" s="177"/>
    </row>
    <row r="38" spans="1:40">
      <c r="A38" s="763">
        <v>24</v>
      </c>
      <c r="B38" s="764">
        <v>5</v>
      </c>
      <c r="C38" s="765" t="s">
        <v>1251</v>
      </c>
      <c r="D38" s="766" t="s">
        <v>1252</v>
      </c>
      <c r="E38" s="767" t="s">
        <v>1217</v>
      </c>
      <c r="F38" s="766" t="s">
        <v>248</v>
      </c>
      <c r="G38" s="767">
        <v>33756</v>
      </c>
      <c r="H38" s="766" t="s">
        <v>1252</v>
      </c>
      <c r="I38" s="767" t="s">
        <v>1217</v>
      </c>
      <c r="J38" s="766" t="s">
        <v>248</v>
      </c>
      <c r="K38" s="767" t="s">
        <v>1173</v>
      </c>
      <c r="L38" s="766">
        <v>33756</v>
      </c>
      <c r="M38" s="767" t="s">
        <v>1253</v>
      </c>
      <c r="N38" s="768" t="s">
        <v>1254</v>
      </c>
      <c r="O38" s="767" t="s">
        <v>1255</v>
      </c>
      <c r="P38" s="766" t="s">
        <v>1255</v>
      </c>
      <c r="Q38" s="833" t="s">
        <v>140</v>
      </c>
      <c r="R38" s="771" t="s">
        <v>140</v>
      </c>
      <c r="S38" s="770" t="s">
        <v>140</v>
      </c>
      <c r="T38" s="771" t="s">
        <v>1177</v>
      </c>
      <c r="U38" s="770" t="s">
        <v>1177</v>
      </c>
      <c r="V38" s="771" t="s">
        <v>1177</v>
      </c>
      <c r="W38" s="770" t="s">
        <v>140</v>
      </c>
      <c r="X38" s="771" t="s">
        <v>140</v>
      </c>
      <c r="Y38" s="770" t="s">
        <v>140</v>
      </c>
      <c r="Z38" s="771" t="s">
        <v>140</v>
      </c>
      <c r="AA38" s="770" t="s">
        <v>140</v>
      </c>
      <c r="AB38" s="771" t="s">
        <v>140</v>
      </c>
      <c r="AC38" s="770" t="s">
        <v>140</v>
      </c>
      <c r="AD38" s="771" t="s">
        <v>140</v>
      </c>
      <c r="AE38" s="770" t="s">
        <v>140</v>
      </c>
      <c r="AF38" s="771" t="s">
        <v>140</v>
      </c>
      <c r="AG38" s="770" t="s">
        <v>140</v>
      </c>
      <c r="AH38" s="771" t="s">
        <v>140</v>
      </c>
      <c r="AI38" s="770" t="s">
        <v>140</v>
      </c>
      <c r="AJ38" s="773" t="s">
        <v>140</v>
      </c>
      <c r="AK38" s="773" t="s">
        <v>140</v>
      </c>
      <c r="AL38" s="773" t="s">
        <v>140</v>
      </c>
      <c r="AM38" s="773" t="s">
        <v>140</v>
      </c>
      <c r="AN38" s="177"/>
    </row>
    <row r="39" spans="1:40">
      <c r="A39" s="763">
        <v>25</v>
      </c>
      <c r="B39" s="764">
        <v>5</v>
      </c>
      <c r="C39" s="765" t="s">
        <v>1256</v>
      </c>
      <c r="D39" s="766" t="s">
        <v>1252</v>
      </c>
      <c r="E39" s="767" t="s">
        <v>1217</v>
      </c>
      <c r="F39" s="766" t="s">
        <v>248</v>
      </c>
      <c r="G39" s="767">
        <v>33756</v>
      </c>
      <c r="H39" s="766" t="s">
        <v>1257</v>
      </c>
      <c r="I39" s="767" t="s">
        <v>1217</v>
      </c>
      <c r="J39" s="766" t="s">
        <v>248</v>
      </c>
      <c r="K39" s="767" t="s">
        <v>136</v>
      </c>
      <c r="L39" s="766">
        <v>33756</v>
      </c>
      <c r="M39" s="767" t="s">
        <v>1253</v>
      </c>
      <c r="N39" s="768" t="s">
        <v>1254</v>
      </c>
      <c r="O39" s="767" t="s">
        <v>1255</v>
      </c>
      <c r="P39" s="766" t="s">
        <v>1255</v>
      </c>
      <c r="Q39" s="833" t="s">
        <v>140</v>
      </c>
      <c r="R39" s="771" t="s">
        <v>140</v>
      </c>
      <c r="S39" s="770" t="s">
        <v>140</v>
      </c>
      <c r="T39" s="771" t="s">
        <v>1177</v>
      </c>
      <c r="U39" s="770" t="s">
        <v>1177</v>
      </c>
      <c r="V39" s="771" t="s">
        <v>1177</v>
      </c>
      <c r="W39" s="770" t="s">
        <v>140</v>
      </c>
      <c r="X39" s="771" t="s">
        <v>140</v>
      </c>
      <c r="Y39" s="770" t="s">
        <v>140</v>
      </c>
      <c r="Z39" s="771" t="s">
        <v>140</v>
      </c>
      <c r="AA39" s="770" t="s">
        <v>140</v>
      </c>
      <c r="AB39" s="771" t="s">
        <v>140</v>
      </c>
      <c r="AC39" s="770" t="s">
        <v>140</v>
      </c>
      <c r="AD39" s="771" t="s">
        <v>140</v>
      </c>
      <c r="AE39" s="770" t="s">
        <v>140</v>
      </c>
      <c r="AF39" s="771" t="s">
        <v>140</v>
      </c>
      <c r="AG39" s="770" t="s">
        <v>140</v>
      </c>
      <c r="AH39" s="771" t="s">
        <v>140</v>
      </c>
      <c r="AI39" s="770" t="s">
        <v>140</v>
      </c>
      <c r="AJ39" s="773" t="s">
        <v>140</v>
      </c>
      <c r="AK39" s="773" t="s">
        <v>140</v>
      </c>
      <c r="AL39" s="773" t="s">
        <v>140</v>
      </c>
      <c r="AM39" s="773" t="s">
        <v>140</v>
      </c>
      <c r="AN39" s="177"/>
    </row>
    <row r="40" spans="1:40">
      <c r="A40" s="763">
        <v>26</v>
      </c>
      <c r="B40" s="764">
        <v>5</v>
      </c>
      <c r="C40" s="765" t="s">
        <v>1258</v>
      </c>
      <c r="D40" s="766" t="s">
        <v>1259</v>
      </c>
      <c r="E40" s="767" t="s">
        <v>1192</v>
      </c>
      <c r="F40" s="766" t="s">
        <v>136</v>
      </c>
      <c r="G40" s="767">
        <v>34668</v>
      </c>
      <c r="H40" s="766" t="s">
        <v>1259</v>
      </c>
      <c r="I40" s="767" t="s">
        <v>1192</v>
      </c>
      <c r="J40" s="766" t="s">
        <v>136</v>
      </c>
      <c r="K40" s="767" t="s">
        <v>136</v>
      </c>
      <c r="L40" s="766">
        <v>34668</v>
      </c>
      <c r="M40" s="767" t="s">
        <v>1260</v>
      </c>
      <c r="N40" s="768" t="s">
        <v>1261</v>
      </c>
      <c r="O40" s="767" t="s">
        <v>1262</v>
      </c>
      <c r="P40" s="766" t="s">
        <v>1262</v>
      </c>
      <c r="Q40" s="833"/>
      <c r="R40" s="771"/>
      <c r="S40" s="770"/>
      <c r="T40" s="771" t="s">
        <v>1177</v>
      </c>
      <c r="U40" s="770" t="s">
        <v>1177</v>
      </c>
      <c r="V40" s="771" t="s">
        <v>1177</v>
      </c>
      <c r="W40" s="770"/>
      <c r="X40" s="771"/>
      <c r="Y40" s="770"/>
      <c r="Z40" s="771"/>
      <c r="AA40" s="770"/>
      <c r="AB40" s="771"/>
      <c r="AC40" s="770"/>
      <c r="AD40" s="771"/>
      <c r="AE40" s="770"/>
      <c r="AF40" s="771"/>
      <c r="AG40" s="770"/>
      <c r="AH40" s="771"/>
      <c r="AI40" s="770"/>
      <c r="AJ40" s="773"/>
      <c r="AK40" s="773"/>
      <c r="AL40" s="773"/>
      <c r="AM40" s="773"/>
      <c r="AN40" s="177"/>
    </row>
    <row r="41" spans="1:40">
      <c r="A41" s="763">
        <v>27</v>
      </c>
      <c r="B41" s="764">
        <v>5</v>
      </c>
      <c r="C41" s="765" t="s">
        <v>1263</v>
      </c>
      <c r="D41" s="766" t="s">
        <v>1264</v>
      </c>
      <c r="E41" s="767" t="s">
        <v>1210</v>
      </c>
      <c r="F41" s="766" t="s">
        <v>248</v>
      </c>
      <c r="G41" s="767">
        <v>33702</v>
      </c>
      <c r="H41" s="766" t="s">
        <v>1264</v>
      </c>
      <c r="I41" s="767" t="s">
        <v>1210</v>
      </c>
      <c r="J41" s="766" t="s">
        <v>248</v>
      </c>
      <c r="K41" s="767" t="s">
        <v>1173</v>
      </c>
      <c r="L41" s="766">
        <v>33702</v>
      </c>
      <c r="M41" s="767" t="s">
        <v>1265</v>
      </c>
      <c r="N41" s="768" t="s">
        <v>1266</v>
      </c>
      <c r="O41" s="767" t="s">
        <v>1267</v>
      </c>
      <c r="P41" s="766" t="s">
        <v>1268</v>
      </c>
      <c r="Q41" s="833"/>
      <c r="R41" s="771"/>
      <c r="S41" s="770"/>
      <c r="T41" s="771" t="s">
        <v>1177</v>
      </c>
      <c r="U41" s="770" t="s">
        <v>1177</v>
      </c>
      <c r="V41" s="771" t="s">
        <v>1177</v>
      </c>
      <c r="W41" s="770"/>
      <c r="X41" s="771"/>
      <c r="Y41" s="770"/>
      <c r="Z41" s="771"/>
      <c r="AA41" s="770"/>
      <c r="AB41" s="771"/>
      <c r="AC41" s="770"/>
      <c r="AD41" s="771"/>
      <c r="AE41" s="770"/>
      <c r="AF41" s="771"/>
      <c r="AG41" s="770"/>
      <c r="AH41" s="771"/>
      <c r="AI41" s="770"/>
      <c r="AJ41" s="773"/>
      <c r="AK41" s="773"/>
      <c r="AL41" s="773"/>
      <c r="AM41" s="773"/>
      <c r="AN41" s="177"/>
    </row>
    <row r="42" spans="1:40">
      <c r="A42" s="763">
        <v>28</v>
      </c>
      <c r="B42" s="764">
        <v>5</v>
      </c>
      <c r="C42" s="765" t="s">
        <v>1269</v>
      </c>
      <c r="D42" s="766" t="s">
        <v>1270</v>
      </c>
      <c r="E42" s="767" t="s">
        <v>1271</v>
      </c>
      <c r="F42" s="766" t="s">
        <v>1272</v>
      </c>
      <c r="G42" s="767">
        <v>34202</v>
      </c>
      <c r="H42" s="766" t="s">
        <v>1270</v>
      </c>
      <c r="I42" s="767" t="s">
        <v>1271</v>
      </c>
      <c r="J42" s="766" t="s">
        <v>1272</v>
      </c>
      <c r="K42" s="767" t="s">
        <v>1173</v>
      </c>
      <c r="L42" s="766">
        <v>34202</v>
      </c>
      <c r="M42" s="767" t="s">
        <v>1273</v>
      </c>
      <c r="N42" s="768" t="s">
        <v>1274</v>
      </c>
      <c r="O42" s="767" t="s">
        <v>1275</v>
      </c>
      <c r="P42" s="766" t="s">
        <v>1276</v>
      </c>
      <c r="Q42" s="833" t="s">
        <v>140</v>
      </c>
      <c r="R42" s="771" t="s">
        <v>140</v>
      </c>
      <c r="S42" s="770" t="s">
        <v>1177</v>
      </c>
      <c r="T42" s="771" t="s">
        <v>140</v>
      </c>
      <c r="U42" s="770" t="s">
        <v>1177</v>
      </c>
      <c r="V42" s="771" t="s">
        <v>1177</v>
      </c>
      <c r="W42" s="770" t="s">
        <v>140</v>
      </c>
      <c r="X42" s="771" t="s">
        <v>140</v>
      </c>
      <c r="Y42" s="770" t="s">
        <v>140</v>
      </c>
      <c r="Z42" s="771" t="s">
        <v>140</v>
      </c>
      <c r="AA42" s="770" t="s">
        <v>140</v>
      </c>
      <c r="AB42" s="771" t="s">
        <v>140</v>
      </c>
      <c r="AC42" s="770" t="s">
        <v>140</v>
      </c>
      <c r="AD42" s="771" t="s">
        <v>140</v>
      </c>
      <c r="AE42" s="770" t="s">
        <v>140</v>
      </c>
      <c r="AF42" s="771" t="s">
        <v>140</v>
      </c>
      <c r="AG42" s="770" t="s">
        <v>140</v>
      </c>
      <c r="AH42" s="771" t="s">
        <v>140</v>
      </c>
      <c r="AI42" s="770" t="s">
        <v>140</v>
      </c>
      <c r="AJ42" s="773" t="s">
        <v>140</v>
      </c>
      <c r="AK42" s="773" t="s">
        <v>140</v>
      </c>
      <c r="AL42" s="773" t="s">
        <v>140</v>
      </c>
      <c r="AM42" s="773" t="s">
        <v>140</v>
      </c>
      <c r="AN42" s="177"/>
    </row>
    <row r="43" spans="1:40">
      <c r="A43" s="763">
        <v>29</v>
      </c>
      <c r="B43" s="764">
        <v>5</v>
      </c>
      <c r="C43" s="765" t="s">
        <v>1269</v>
      </c>
      <c r="D43" s="766" t="s">
        <v>1270</v>
      </c>
      <c r="E43" s="767" t="s">
        <v>1271</v>
      </c>
      <c r="F43" s="766" t="s">
        <v>1272</v>
      </c>
      <c r="G43" s="767">
        <v>34202</v>
      </c>
      <c r="H43" s="766" t="s">
        <v>1270</v>
      </c>
      <c r="I43" s="767" t="s">
        <v>1271</v>
      </c>
      <c r="J43" s="766" t="s">
        <v>1272</v>
      </c>
      <c r="K43" s="767" t="s">
        <v>136</v>
      </c>
      <c r="L43" s="766">
        <v>34202</v>
      </c>
      <c r="M43" s="767" t="s">
        <v>1273</v>
      </c>
      <c r="N43" s="768" t="s">
        <v>1274</v>
      </c>
      <c r="O43" s="767" t="s">
        <v>1275</v>
      </c>
      <c r="P43" s="766" t="s">
        <v>1276</v>
      </c>
      <c r="Q43" s="833" t="s">
        <v>140</v>
      </c>
      <c r="R43" s="771" t="s">
        <v>140</v>
      </c>
      <c r="S43" s="770" t="s">
        <v>1177</v>
      </c>
      <c r="T43" s="771" t="s">
        <v>140</v>
      </c>
      <c r="U43" s="770" t="s">
        <v>1177</v>
      </c>
      <c r="V43" s="771" t="s">
        <v>1177</v>
      </c>
      <c r="W43" s="770" t="s">
        <v>140</v>
      </c>
      <c r="X43" s="771" t="s">
        <v>140</v>
      </c>
      <c r="Y43" s="770" t="s">
        <v>140</v>
      </c>
      <c r="Z43" s="771" t="s">
        <v>140</v>
      </c>
      <c r="AA43" s="770" t="s">
        <v>140</v>
      </c>
      <c r="AB43" s="771" t="s">
        <v>140</v>
      </c>
      <c r="AC43" s="770" t="s">
        <v>140</v>
      </c>
      <c r="AD43" s="771" t="s">
        <v>140</v>
      </c>
      <c r="AE43" s="770" t="s">
        <v>140</v>
      </c>
      <c r="AF43" s="771" t="s">
        <v>140</v>
      </c>
      <c r="AG43" s="770" t="s">
        <v>140</v>
      </c>
      <c r="AH43" s="771" t="s">
        <v>140</v>
      </c>
      <c r="AI43" s="770" t="s">
        <v>140</v>
      </c>
      <c r="AJ43" s="773" t="s">
        <v>140</v>
      </c>
      <c r="AK43" s="773" t="s">
        <v>140</v>
      </c>
      <c r="AL43" s="773" t="s">
        <v>140</v>
      </c>
      <c r="AM43" s="773" t="s">
        <v>140</v>
      </c>
      <c r="AN43" s="177"/>
    </row>
    <row r="44" spans="1:40">
      <c r="A44" s="763">
        <v>30</v>
      </c>
      <c r="B44" s="764">
        <v>5</v>
      </c>
      <c r="C44" s="776" t="s">
        <v>1277</v>
      </c>
      <c r="D44" s="777" t="s">
        <v>1278</v>
      </c>
      <c r="E44" s="778" t="s">
        <v>1279</v>
      </c>
      <c r="F44" s="777" t="s">
        <v>1280</v>
      </c>
      <c r="G44" s="778">
        <v>77210</v>
      </c>
      <c r="H44" s="777" t="s">
        <v>1281</v>
      </c>
      <c r="I44" s="778" t="s">
        <v>1172</v>
      </c>
      <c r="J44" s="777" t="s">
        <v>1173</v>
      </c>
      <c r="K44" s="778" t="s">
        <v>1173</v>
      </c>
      <c r="L44" s="777">
        <v>34683</v>
      </c>
      <c r="M44" s="778" t="s">
        <v>1282</v>
      </c>
      <c r="N44" s="779" t="s">
        <v>560</v>
      </c>
      <c r="O44" s="778" t="s">
        <v>1283</v>
      </c>
      <c r="P44" s="777" t="s">
        <v>1284</v>
      </c>
      <c r="Q44" s="834" t="s">
        <v>140</v>
      </c>
      <c r="R44" s="782" t="s">
        <v>140</v>
      </c>
      <c r="S44" s="781" t="s">
        <v>140</v>
      </c>
      <c r="T44" s="782" t="s">
        <v>1177</v>
      </c>
      <c r="U44" s="781" t="s">
        <v>1177</v>
      </c>
      <c r="V44" s="782" t="s">
        <v>1177</v>
      </c>
      <c r="W44" s="781" t="s">
        <v>140</v>
      </c>
      <c r="X44" s="782" t="s">
        <v>140</v>
      </c>
      <c r="Y44" s="781" t="s">
        <v>140</v>
      </c>
      <c r="Z44" s="782" t="s">
        <v>140</v>
      </c>
      <c r="AA44" s="781" t="s">
        <v>140</v>
      </c>
      <c r="AB44" s="782" t="s">
        <v>140</v>
      </c>
      <c r="AC44" s="781" t="s">
        <v>140</v>
      </c>
      <c r="AD44" s="782" t="s">
        <v>140</v>
      </c>
      <c r="AE44" s="781" t="s">
        <v>140</v>
      </c>
      <c r="AF44" s="782" t="s">
        <v>140</v>
      </c>
      <c r="AG44" s="781" t="s">
        <v>140</v>
      </c>
      <c r="AH44" s="782" t="s">
        <v>140</v>
      </c>
      <c r="AI44" s="781" t="s">
        <v>140</v>
      </c>
      <c r="AJ44" s="783" t="s">
        <v>140</v>
      </c>
      <c r="AK44" s="783" t="s">
        <v>140</v>
      </c>
      <c r="AL44" s="783" t="s">
        <v>140</v>
      </c>
      <c r="AM44" s="783" t="s">
        <v>140</v>
      </c>
      <c r="AN44" s="177"/>
    </row>
    <row r="45" spans="1:40">
      <c r="A45" s="763">
        <v>31</v>
      </c>
      <c r="B45" s="764">
        <v>5</v>
      </c>
      <c r="C45" s="776" t="s">
        <v>1277</v>
      </c>
      <c r="D45" s="777" t="s">
        <v>1278</v>
      </c>
      <c r="E45" s="778" t="s">
        <v>1279</v>
      </c>
      <c r="F45" s="777" t="s">
        <v>1280</v>
      </c>
      <c r="G45" s="778">
        <v>77210</v>
      </c>
      <c r="H45" s="777" t="s">
        <v>1281</v>
      </c>
      <c r="I45" s="778" t="s">
        <v>1172</v>
      </c>
      <c r="J45" s="777" t="s">
        <v>1173</v>
      </c>
      <c r="K45" s="767" t="s">
        <v>136</v>
      </c>
      <c r="L45" s="777">
        <v>34683</v>
      </c>
      <c r="M45" s="778" t="s">
        <v>1282</v>
      </c>
      <c r="N45" s="779" t="s">
        <v>560</v>
      </c>
      <c r="O45" s="767" t="s">
        <v>1283</v>
      </c>
      <c r="P45" s="766" t="s">
        <v>1284</v>
      </c>
      <c r="Q45" s="833" t="s">
        <v>140</v>
      </c>
      <c r="R45" s="771" t="s">
        <v>140</v>
      </c>
      <c r="S45" s="770" t="s">
        <v>140</v>
      </c>
      <c r="T45" s="771" t="s">
        <v>1177</v>
      </c>
      <c r="U45" s="770" t="s">
        <v>1177</v>
      </c>
      <c r="V45" s="771" t="s">
        <v>1177</v>
      </c>
      <c r="W45" s="770" t="s">
        <v>140</v>
      </c>
      <c r="X45" s="771" t="s">
        <v>140</v>
      </c>
      <c r="Y45" s="770" t="s">
        <v>140</v>
      </c>
      <c r="Z45" s="771" t="s">
        <v>140</v>
      </c>
      <c r="AA45" s="770" t="s">
        <v>140</v>
      </c>
      <c r="AB45" s="771" t="s">
        <v>140</v>
      </c>
      <c r="AC45" s="770" t="s">
        <v>140</v>
      </c>
      <c r="AD45" s="771" t="s">
        <v>140</v>
      </c>
      <c r="AE45" s="770" t="s">
        <v>140</v>
      </c>
      <c r="AF45" s="771" t="s">
        <v>140</v>
      </c>
      <c r="AG45" s="770" t="s">
        <v>140</v>
      </c>
      <c r="AH45" s="771" t="s">
        <v>140</v>
      </c>
      <c r="AI45" s="770" t="s">
        <v>140</v>
      </c>
      <c r="AJ45" s="773" t="s">
        <v>140</v>
      </c>
      <c r="AK45" s="773" t="s">
        <v>140</v>
      </c>
      <c r="AL45" s="773" t="s">
        <v>140</v>
      </c>
      <c r="AM45" s="773" t="s">
        <v>140</v>
      </c>
      <c r="AN45" s="177"/>
    </row>
    <row r="46" spans="1:40">
      <c r="A46" s="763">
        <v>32</v>
      </c>
      <c r="B46" s="764">
        <v>5</v>
      </c>
      <c r="C46" s="776" t="s">
        <v>1285</v>
      </c>
      <c r="D46" s="777" t="s">
        <v>1286</v>
      </c>
      <c r="E46" s="778" t="s">
        <v>1217</v>
      </c>
      <c r="F46" s="777" t="s">
        <v>248</v>
      </c>
      <c r="G46" s="778">
        <v>33765</v>
      </c>
      <c r="H46" s="777" t="s">
        <v>1286</v>
      </c>
      <c r="I46" s="778" t="s">
        <v>1217</v>
      </c>
      <c r="J46" s="777" t="s">
        <v>1173</v>
      </c>
      <c r="K46" s="778" t="s">
        <v>1173</v>
      </c>
      <c r="L46" s="777">
        <v>33765</v>
      </c>
      <c r="M46" s="778" t="s">
        <v>1287</v>
      </c>
      <c r="N46" s="779" t="s">
        <v>1288</v>
      </c>
      <c r="O46" s="778" t="s">
        <v>1289</v>
      </c>
      <c r="P46" s="777" t="s">
        <v>1290</v>
      </c>
      <c r="Q46" s="834" t="s">
        <v>140</v>
      </c>
      <c r="R46" s="782" t="s">
        <v>140</v>
      </c>
      <c r="S46" s="781" t="s">
        <v>140</v>
      </c>
      <c r="T46" s="782" t="s">
        <v>1177</v>
      </c>
      <c r="U46" s="781" t="s">
        <v>1177</v>
      </c>
      <c r="V46" s="782" t="s">
        <v>1177</v>
      </c>
      <c r="W46" s="781" t="s">
        <v>140</v>
      </c>
      <c r="X46" s="782" t="s">
        <v>140</v>
      </c>
      <c r="Y46" s="781" t="s">
        <v>140</v>
      </c>
      <c r="Z46" s="782" t="s">
        <v>140</v>
      </c>
      <c r="AA46" s="781" t="s">
        <v>140</v>
      </c>
      <c r="AB46" s="782" t="s">
        <v>140</v>
      </c>
      <c r="AC46" s="781" t="s">
        <v>140</v>
      </c>
      <c r="AD46" s="782" t="s">
        <v>140</v>
      </c>
      <c r="AE46" s="781" t="s">
        <v>140</v>
      </c>
      <c r="AF46" s="782" t="s">
        <v>140</v>
      </c>
      <c r="AG46" s="781" t="s">
        <v>140</v>
      </c>
      <c r="AH46" s="782" t="s">
        <v>140</v>
      </c>
      <c r="AI46" s="781" t="s">
        <v>140</v>
      </c>
      <c r="AJ46" s="783" t="s">
        <v>140</v>
      </c>
      <c r="AK46" s="783" t="s">
        <v>140</v>
      </c>
      <c r="AL46" s="783" t="s">
        <v>140</v>
      </c>
      <c r="AM46" s="783" t="s">
        <v>140</v>
      </c>
      <c r="AN46" s="177"/>
    </row>
    <row r="47" spans="1:40">
      <c r="A47" s="763">
        <v>33</v>
      </c>
      <c r="B47" s="764">
        <v>5</v>
      </c>
      <c r="C47" s="765" t="s">
        <v>1285</v>
      </c>
      <c r="D47" s="777" t="s">
        <v>1286</v>
      </c>
      <c r="E47" s="767" t="s">
        <v>1217</v>
      </c>
      <c r="F47" s="766" t="s">
        <v>248</v>
      </c>
      <c r="G47" s="767">
        <v>33765</v>
      </c>
      <c r="H47" s="777" t="s">
        <v>1286</v>
      </c>
      <c r="I47" s="767" t="s">
        <v>1217</v>
      </c>
      <c r="J47" s="766" t="s">
        <v>1173</v>
      </c>
      <c r="K47" s="767" t="s">
        <v>136</v>
      </c>
      <c r="L47" s="766">
        <v>33765</v>
      </c>
      <c r="M47" s="778" t="s">
        <v>1287</v>
      </c>
      <c r="N47" s="779" t="s">
        <v>1288</v>
      </c>
      <c r="O47" s="767" t="s">
        <v>1289</v>
      </c>
      <c r="P47" s="766" t="s">
        <v>1290</v>
      </c>
      <c r="Q47" s="833" t="s">
        <v>140</v>
      </c>
      <c r="R47" s="771" t="s">
        <v>140</v>
      </c>
      <c r="S47" s="770" t="s">
        <v>140</v>
      </c>
      <c r="T47" s="771" t="s">
        <v>1177</v>
      </c>
      <c r="U47" s="770" t="s">
        <v>1177</v>
      </c>
      <c r="V47" s="771" t="s">
        <v>1177</v>
      </c>
      <c r="W47" s="770" t="s">
        <v>140</v>
      </c>
      <c r="X47" s="771" t="s">
        <v>140</v>
      </c>
      <c r="Y47" s="770" t="s">
        <v>140</v>
      </c>
      <c r="Z47" s="771" t="s">
        <v>140</v>
      </c>
      <c r="AA47" s="770" t="s">
        <v>140</v>
      </c>
      <c r="AB47" s="771" t="s">
        <v>140</v>
      </c>
      <c r="AC47" s="770" t="s">
        <v>140</v>
      </c>
      <c r="AD47" s="771" t="s">
        <v>140</v>
      </c>
      <c r="AE47" s="770" t="s">
        <v>140</v>
      </c>
      <c r="AF47" s="771" t="s">
        <v>140</v>
      </c>
      <c r="AG47" s="770" t="s">
        <v>140</v>
      </c>
      <c r="AH47" s="771" t="s">
        <v>140</v>
      </c>
      <c r="AI47" s="770" t="s">
        <v>140</v>
      </c>
      <c r="AJ47" s="773" t="s">
        <v>140</v>
      </c>
      <c r="AK47" s="773" t="s">
        <v>140</v>
      </c>
      <c r="AL47" s="773" t="s">
        <v>140</v>
      </c>
      <c r="AM47" s="773" t="s">
        <v>140</v>
      </c>
      <c r="AN47" s="177"/>
    </row>
    <row r="48" spans="1:40">
      <c r="A48" s="763">
        <v>34</v>
      </c>
      <c r="B48" s="764">
        <v>5</v>
      </c>
      <c r="C48" s="765" t="s">
        <v>1291</v>
      </c>
      <c r="D48" s="766" t="s">
        <v>1292</v>
      </c>
      <c r="E48" s="767" t="s">
        <v>1198</v>
      </c>
      <c r="F48" s="766" t="s">
        <v>248</v>
      </c>
      <c r="G48" s="767">
        <v>33714</v>
      </c>
      <c r="H48" s="766" t="s">
        <v>1292</v>
      </c>
      <c r="I48" s="767" t="s">
        <v>1198</v>
      </c>
      <c r="J48" s="766" t="s">
        <v>248</v>
      </c>
      <c r="K48" s="767" t="s">
        <v>1173</v>
      </c>
      <c r="L48" s="766">
        <v>33714</v>
      </c>
      <c r="M48" s="767" t="s">
        <v>1287</v>
      </c>
      <c r="N48" s="768" t="s">
        <v>1288</v>
      </c>
      <c r="O48" s="767"/>
      <c r="P48" s="766" t="s">
        <v>1293</v>
      </c>
      <c r="Q48" s="833"/>
      <c r="R48" s="771"/>
      <c r="S48" s="770"/>
      <c r="T48" s="771" t="s">
        <v>1177</v>
      </c>
      <c r="U48" s="770" t="s">
        <v>1177</v>
      </c>
      <c r="V48" s="771" t="s">
        <v>1177</v>
      </c>
      <c r="W48" s="770"/>
      <c r="X48" s="771" t="s">
        <v>1177</v>
      </c>
      <c r="Y48" s="770"/>
      <c r="Z48" s="771"/>
      <c r="AA48" s="770"/>
      <c r="AB48" s="771"/>
      <c r="AC48" s="770"/>
      <c r="AD48" s="771"/>
      <c r="AE48" s="770"/>
      <c r="AF48" s="771"/>
      <c r="AG48" s="770"/>
      <c r="AH48" s="771"/>
      <c r="AI48" s="770"/>
      <c r="AJ48" s="773"/>
      <c r="AK48" s="773"/>
      <c r="AL48" s="773"/>
      <c r="AM48" s="773"/>
      <c r="AN48" s="177"/>
    </row>
    <row r="49" spans="1:40">
      <c r="A49" s="763">
        <v>35</v>
      </c>
      <c r="B49" s="764">
        <v>5</v>
      </c>
      <c r="C49" s="765" t="s">
        <v>1291</v>
      </c>
      <c r="D49" s="766" t="s">
        <v>1292</v>
      </c>
      <c r="E49" s="767" t="s">
        <v>1198</v>
      </c>
      <c r="F49" s="766" t="s">
        <v>248</v>
      </c>
      <c r="G49" s="767">
        <v>33714</v>
      </c>
      <c r="H49" s="766" t="s">
        <v>1292</v>
      </c>
      <c r="I49" s="767" t="s">
        <v>1198</v>
      </c>
      <c r="J49" s="766" t="s">
        <v>248</v>
      </c>
      <c r="K49" s="767" t="s">
        <v>1220</v>
      </c>
      <c r="L49" s="766">
        <v>33714</v>
      </c>
      <c r="M49" s="767" t="s">
        <v>1287</v>
      </c>
      <c r="N49" s="768" t="s">
        <v>1288</v>
      </c>
      <c r="O49" s="767"/>
      <c r="P49" s="766" t="s">
        <v>1293</v>
      </c>
      <c r="Q49" s="833"/>
      <c r="R49" s="771"/>
      <c r="S49" s="770"/>
      <c r="T49" s="771" t="s">
        <v>1177</v>
      </c>
      <c r="U49" s="770" t="s">
        <v>1177</v>
      </c>
      <c r="V49" s="771" t="s">
        <v>1177</v>
      </c>
      <c r="W49" s="770"/>
      <c r="X49" s="771" t="s">
        <v>1177</v>
      </c>
      <c r="Y49" s="770"/>
      <c r="Z49" s="771"/>
      <c r="AA49" s="770"/>
      <c r="AB49" s="771"/>
      <c r="AC49" s="770"/>
      <c r="AD49" s="771"/>
      <c r="AE49" s="770"/>
      <c r="AF49" s="771"/>
      <c r="AG49" s="770"/>
      <c r="AH49" s="771"/>
      <c r="AI49" s="770"/>
      <c r="AJ49" s="773"/>
      <c r="AK49" s="773"/>
      <c r="AL49" s="773"/>
      <c r="AM49" s="773"/>
      <c r="AN49" s="177"/>
    </row>
    <row r="50" spans="1:40">
      <c r="A50" s="763">
        <v>36</v>
      </c>
      <c r="B50" s="764">
        <v>5</v>
      </c>
      <c r="C50" s="776" t="s">
        <v>1294</v>
      </c>
      <c r="D50" s="777" t="s">
        <v>1295</v>
      </c>
      <c r="E50" s="778" t="s">
        <v>1296</v>
      </c>
      <c r="F50" s="777" t="s">
        <v>136</v>
      </c>
      <c r="G50" s="778">
        <v>34652</v>
      </c>
      <c r="H50" s="777" t="s">
        <v>1295</v>
      </c>
      <c r="I50" s="778" t="s">
        <v>1296</v>
      </c>
      <c r="J50" s="777" t="s">
        <v>136</v>
      </c>
      <c r="K50" s="778" t="s">
        <v>136</v>
      </c>
      <c r="L50" s="777">
        <v>33652</v>
      </c>
      <c r="M50" s="778" t="s">
        <v>1297</v>
      </c>
      <c r="N50" s="779" t="s">
        <v>1298</v>
      </c>
      <c r="O50" s="778" t="s">
        <v>1299</v>
      </c>
      <c r="P50" s="777" t="s">
        <v>1299</v>
      </c>
      <c r="Q50" s="834" t="s">
        <v>140</v>
      </c>
      <c r="R50" s="782" t="s">
        <v>140</v>
      </c>
      <c r="S50" s="781" t="s">
        <v>140</v>
      </c>
      <c r="T50" s="782" t="s">
        <v>1177</v>
      </c>
      <c r="U50" s="781" t="s">
        <v>1177</v>
      </c>
      <c r="V50" s="782" t="s">
        <v>1177</v>
      </c>
      <c r="W50" s="781" t="s">
        <v>140</v>
      </c>
      <c r="X50" s="782" t="s">
        <v>140</v>
      </c>
      <c r="Y50" s="781" t="s">
        <v>1177</v>
      </c>
      <c r="Z50" s="782" t="s">
        <v>140</v>
      </c>
      <c r="AA50" s="781" t="s">
        <v>1177</v>
      </c>
      <c r="AB50" s="782" t="s">
        <v>140</v>
      </c>
      <c r="AC50" s="781" t="s">
        <v>140</v>
      </c>
      <c r="AD50" s="782" t="s">
        <v>140</v>
      </c>
      <c r="AE50" s="781" t="s">
        <v>140</v>
      </c>
      <c r="AF50" s="782" t="s">
        <v>140</v>
      </c>
      <c r="AG50" s="781" t="s">
        <v>140</v>
      </c>
      <c r="AH50" s="782" t="s">
        <v>140</v>
      </c>
      <c r="AI50" s="781" t="s">
        <v>140</v>
      </c>
      <c r="AJ50" s="783" t="s">
        <v>140</v>
      </c>
      <c r="AK50" s="783" t="s">
        <v>140</v>
      </c>
      <c r="AL50" s="783" t="s">
        <v>140</v>
      </c>
      <c r="AM50" s="783" t="s">
        <v>140</v>
      </c>
      <c r="AN50" s="177"/>
    </row>
    <row r="51" spans="1:40">
      <c r="A51" s="763">
        <v>37</v>
      </c>
      <c r="B51" s="764">
        <v>5</v>
      </c>
      <c r="C51" s="776" t="s">
        <v>1300</v>
      </c>
      <c r="D51" s="777" t="s">
        <v>1301</v>
      </c>
      <c r="E51" s="778" t="s">
        <v>1302</v>
      </c>
      <c r="F51" s="777" t="s">
        <v>136</v>
      </c>
      <c r="G51" s="778">
        <v>33548</v>
      </c>
      <c r="H51" s="777" t="s">
        <v>1301</v>
      </c>
      <c r="I51" s="778" t="s">
        <v>1302</v>
      </c>
      <c r="J51" s="777" t="s">
        <v>136</v>
      </c>
      <c r="K51" s="778" t="s">
        <v>1220</v>
      </c>
      <c r="L51" s="777">
        <v>33548</v>
      </c>
      <c r="M51" s="778" t="s">
        <v>1303</v>
      </c>
      <c r="N51" s="779" t="s">
        <v>1304</v>
      </c>
      <c r="O51" s="778" t="s">
        <v>1305</v>
      </c>
      <c r="P51" s="777" t="s">
        <v>1305</v>
      </c>
      <c r="Q51" s="834" t="s">
        <v>140</v>
      </c>
      <c r="R51" s="782" t="s">
        <v>140</v>
      </c>
      <c r="S51" s="781" t="s">
        <v>140</v>
      </c>
      <c r="T51" s="782" t="s">
        <v>1177</v>
      </c>
      <c r="U51" s="781" t="s">
        <v>1177</v>
      </c>
      <c r="V51" s="782" t="s">
        <v>1177</v>
      </c>
      <c r="W51" s="781" t="s">
        <v>140</v>
      </c>
      <c r="X51" s="782" t="s">
        <v>140</v>
      </c>
      <c r="Y51" s="781" t="s">
        <v>140</v>
      </c>
      <c r="Z51" s="782" t="s">
        <v>140</v>
      </c>
      <c r="AA51" s="781" t="s">
        <v>140</v>
      </c>
      <c r="AB51" s="782" t="s">
        <v>140</v>
      </c>
      <c r="AC51" s="781" t="s">
        <v>140</v>
      </c>
      <c r="AD51" s="782" t="s">
        <v>140</v>
      </c>
      <c r="AE51" s="781" t="s">
        <v>140</v>
      </c>
      <c r="AF51" s="782" t="s">
        <v>140</v>
      </c>
      <c r="AG51" s="781" t="s">
        <v>140</v>
      </c>
      <c r="AH51" s="782" t="s">
        <v>140</v>
      </c>
      <c r="AI51" s="781" t="s">
        <v>140</v>
      </c>
      <c r="AJ51" s="783" t="s">
        <v>140</v>
      </c>
      <c r="AK51" s="783" t="s">
        <v>140</v>
      </c>
      <c r="AL51" s="783" t="s">
        <v>140</v>
      </c>
      <c r="AM51" s="783" t="s">
        <v>140</v>
      </c>
      <c r="AN51" s="177"/>
    </row>
    <row r="52" spans="1:40">
      <c r="A52" s="763">
        <v>38</v>
      </c>
      <c r="B52" s="764">
        <v>5</v>
      </c>
      <c r="C52" s="776" t="s">
        <v>1300</v>
      </c>
      <c r="D52" s="777" t="s">
        <v>1301</v>
      </c>
      <c r="E52" s="778" t="s">
        <v>1302</v>
      </c>
      <c r="F52" s="777" t="s">
        <v>136</v>
      </c>
      <c r="G52" s="778">
        <v>33548</v>
      </c>
      <c r="H52" s="777" t="s">
        <v>1301</v>
      </c>
      <c r="I52" s="778" t="s">
        <v>1302</v>
      </c>
      <c r="J52" s="777" t="s">
        <v>136</v>
      </c>
      <c r="K52" s="778" t="s">
        <v>1173</v>
      </c>
      <c r="L52" s="777">
        <v>33548</v>
      </c>
      <c r="M52" s="778" t="s">
        <v>1303</v>
      </c>
      <c r="N52" s="779" t="s">
        <v>1304</v>
      </c>
      <c r="O52" s="778" t="s">
        <v>1305</v>
      </c>
      <c r="P52" s="777" t="s">
        <v>1305</v>
      </c>
      <c r="Q52" s="834" t="s">
        <v>140</v>
      </c>
      <c r="R52" s="782" t="s">
        <v>140</v>
      </c>
      <c r="S52" s="781" t="s">
        <v>140</v>
      </c>
      <c r="T52" s="782" t="s">
        <v>1177</v>
      </c>
      <c r="U52" s="781" t="s">
        <v>1177</v>
      </c>
      <c r="V52" s="782" t="s">
        <v>1177</v>
      </c>
      <c r="W52" s="781" t="s">
        <v>140</v>
      </c>
      <c r="X52" s="782" t="s">
        <v>140</v>
      </c>
      <c r="Y52" s="781" t="s">
        <v>140</v>
      </c>
      <c r="Z52" s="782" t="s">
        <v>140</v>
      </c>
      <c r="AA52" s="781" t="s">
        <v>140</v>
      </c>
      <c r="AB52" s="782" t="s">
        <v>140</v>
      </c>
      <c r="AC52" s="781" t="s">
        <v>140</v>
      </c>
      <c r="AD52" s="782" t="s">
        <v>140</v>
      </c>
      <c r="AE52" s="781" t="s">
        <v>140</v>
      </c>
      <c r="AF52" s="782" t="s">
        <v>140</v>
      </c>
      <c r="AG52" s="781" t="s">
        <v>140</v>
      </c>
      <c r="AH52" s="782" t="s">
        <v>140</v>
      </c>
      <c r="AI52" s="781" t="s">
        <v>140</v>
      </c>
      <c r="AJ52" s="783" t="s">
        <v>140</v>
      </c>
      <c r="AK52" s="783" t="s">
        <v>140</v>
      </c>
      <c r="AL52" s="783" t="s">
        <v>140</v>
      </c>
      <c r="AM52" s="783" t="s">
        <v>140</v>
      </c>
      <c r="AN52" s="177"/>
    </row>
    <row r="53" spans="1:40">
      <c r="A53" s="763">
        <v>39</v>
      </c>
      <c r="B53" s="764">
        <v>5</v>
      </c>
      <c r="C53" s="776" t="s">
        <v>1306</v>
      </c>
      <c r="D53" s="777" t="s">
        <v>1307</v>
      </c>
      <c r="E53" s="778" t="s">
        <v>1217</v>
      </c>
      <c r="F53" s="777" t="s">
        <v>248</v>
      </c>
      <c r="G53" s="778">
        <v>33761</v>
      </c>
      <c r="H53" s="777" t="s">
        <v>1308</v>
      </c>
      <c r="I53" s="778" t="s">
        <v>1217</v>
      </c>
      <c r="J53" s="777" t="s">
        <v>1173</v>
      </c>
      <c r="K53" s="778" t="s">
        <v>1173</v>
      </c>
      <c r="L53" s="777">
        <v>33761</v>
      </c>
      <c r="M53" s="778" t="s">
        <v>1309</v>
      </c>
      <c r="N53" s="779" t="s">
        <v>1310</v>
      </c>
      <c r="O53" s="778" t="s">
        <v>1311</v>
      </c>
      <c r="P53" s="777" t="s">
        <v>1311</v>
      </c>
      <c r="Q53" s="834" t="s">
        <v>140</v>
      </c>
      <c r="R53" s="782" t="s">
        <v>140</v>
      </c>
      <c r="S53" s="781" t="s">
        <v>140</v>
      </c>
      <c r="T53" s="782" t="s">
        <v>1177</v>
      </c>
      <c r="U53" s="781" t="s">
        <v>1177</v>
      </c>
      <c r="V53" s="782" t="s">
        <v>1177</v>
      </c>
      <c r="W53" s="781" t="s">
        <v>140</v>
      </c>
      <c r="X53" s="782" t="s">
        <v>140</v>
      </c>
      <c r="Y53" s="781" t="s">
        <v>140</v>
      </c>
      <c r="Z53" s="782" t="s">
        <v>140</v>
      </c>
      <c r="AA53" s="781" t="s">
        <v>140</v>
      </c>
      <c r="AB53" s="782" t="s">
        <v>140</v>
      </c>
      <c r="AC53" s="781" t="s">
        <v>140</v>
      </c>
      <c r="AD53" s="782" t="s">
        <v>140</v>
      </c>
      <c r="AE53" s="781" t="s">
        <v>140</v>
      </c>
      <c r="AF53" s="782" t="s">
        <v>140</v>
      </c>
      <c r="AG53" s="781" t="s">
        <v>140</v>
      </c>
      <c r="AH53" s="782" t="s">
        <v>140</v>
      </c>
      <c r="AI53" s="781" t="s">
        <v>140</v>
      </c>
      <c r="AJ53" s="783" t="s">
        <v>140</v>
      </c>
      <c r="AK53" s="783" t="s">
        <v>140</v>
      </c>
      <c r="AL53" s="783" t="s">
        <v>140</v>
      </c>
      <c r="AM53" s="783" t="s">
        <v>140</v>
      </c>
      <c r="AN53" s="177"/>
    </row>
    <row r="54" spans="1:40">
      <c r="A54" s="763">
        <v>40</v>
      </c>
      <c r="B54" s="764">
        <v>5</v>
      </c>
      <c r="C54" s="765" t="s">
        <v>1306</v>
      </c>
      <c r="D54" s="766" t="s">
        <v>1307</v>
      </c>
      <c r="E54" s="767" t="s">
        <v>1217</v>
      </c>
      <c r="F54" s="766" t="s">
        <v>248</v>
      </c>
      <c r="G54" s="767">
        <v>33761</v>
      </c>
      <c r="H54" s="766" t="s">
        <v>1308</v>
      </c>
      <c r="I54" s="767" t="s">
        <v>1217</v>
      </c>
      <c r="J54" s="766" t="s">
        <v>1173</v>
      </c>
      <c r="K54" s="767" t="s">
        <v>136</v>
      </c>
      <c r="L54" s="766">
        <v>33761</v>
      </c>
      <c r="M54" s="767" t="s">
        <v>1309</v>
      </c>
      <c r="N54" s="779" t="s">
        <v>1310</v>
      </c>
      <c r="O54" s="767" t="s">
        <v>1311</v>
      </c>
      <c r="P54" s="766" t="s">
        <v>1311</v>
      </c>
      <c r="Q54" s="833" t="s">
        <v>140</v>
      </c>
      <c r="R54" s="771" t="s">
        <v>140</v>
      </c>
      <c r="S54" s="770" t="s">
        <v>140</v>
      </c>
      <c r="T54" s="771" t="s">
        <v>1177</v>
      </c>
      <c r="U54" s="770" t="s">
        <v>1177</v>
      </c>
      <c r="V54" s="771" t="s">
        <v>1177</v>
      </c>
      <c r="W54" s="770" t="s">
        <v>140</v>
      </c>
      <c r="X54" s="771" t="s">
        <v>140</v>
      </c>
      <c r="Y54" s="770" t="s">
        <v>140</v>
      </c>
      <c r="Z54" s="771" t="s">
        <v>140</v>
      </c>
      <c r="AA54" s="770" t="s">
        <v>140</v>
      </c>
      <c r="AB54" s="771" t="s">
        <v>140</v>
      </c>
      <c r="AC54" s="770" t="s">
        <v>140</v>
      </c>
      <c r="AD54" s="771" t="s">
        <v>140</v>
      </c>
      <c r="AE54" s="770" t="s">
        <v>140</v>
      </c>
      <c r="AF54" s="771" t="s">
        <v>140</v>
      </c>
      <c r="AG54" s="770" t="s">
        <v>140</v>
      </c>
      <c r="AH54" s="771" t="s">
        <v>140</v>
      </c>
      <c r="AI54" s="770" t="s">
        <v>140</v>
      </c>
      <c r="AJ54" s="773" t="s">
        <v>140</v>
      </c>
      <c r="AK54" s="773" t="s">
        <v>140</v>
      </c>
      <c r="AL54" s="773" t="s">
        <v>140</v>
      </c>
      <c r="AM54" s="773" t="s">
        <v>140</v>
      </c>
      <c r="AN54" s="177"/>
    </row>
    <row r="55" spans="1:40">
      <c r="A55" s="763">
        <v>41</v>
      </c>
      <c r="B55" s="764">
        <v>5</v>
      </c>
      <c r="C55" s="776" t="s">
        <v>1312</v>
      </c>
      <c r="D55" s="777" t="s">
        <v>1313</v>
      </c>
      <c r="E55" s="778" t="s">
        <v>1314</v>
      </c>
      <c r="F55" s="777" t="s">
        <v>248</v>
      </c>
      <c r="G55" s="778">
        <v>33772</v>
      </c>
      <c r="H55" s="777" t="s">
        <v>1313</v>
      </c>
      <c r="I55" s="778" t="s">
        <v>1314</v>
      </c>
      <c r="J55" s="777" t="s">
        <v>1173</v>
      </c>
      <c r="K55" s="778" t="s">
        <v>1173</v>
      </c>
      <c r="L55" s="777">
        <v>33760</v>
      </c>
      <c r="M55" s="778" t="s">
        <v>1315</v>
      </c>
      <c r="N55" s="779" t="s">
        <v>1316</v>
      </c>
      <c r="O55" s="778" t="s">
        <v>1317</v>
      </c>
      <c r="P55" s="777" t="s">
        <v>1317</v>
      </c>
      <c r="Q55" s="834" t="s">
        <v>140</v>
      </c>
      <c r="R55" s="782" t="s">
        <v>140</v>
      </c>
      <c r="S55" s="781" t="s">
        <v>140</v>
      </c>
      <c r="T55" s="782" t="s">
        <v>1177</v>
      </c>
      <c r="U55" s="781" t="s">
        <v>1177</v>
      </c>
      <c r="V55" s="782" t="s">
        <v>1177</v>
      </c>
      <c r="W55" s="781" t="s">
        <v>140</v>
      </c>
      <c r="X55" s="782" t="s">
        <v>140</v>
      </c>
      <c r="Y55" s="781" t="s">
        <v>140</v>
      </c>
      <c r="Z55" s="782" t="s">
        <v>140</v>
      </c>
      <c r="AA55" s="781" t="s">
        <v>140</v>
      </c>
      <c r="AB55" s="782" t="s">
        <v>140</v>
      </c>
      <c r="AC55" s="781" t="s">
        <v>140</v>
      </c>
      <c r="AD55" s="782" t="s">
        <v>140</v>
      </c>
      <c r="AE55" s="781" t="s">
        <v>140</v>
      </c>
      <c r="AF55" s="782" t="s">
        <v>140</v>
      </c>
      <c r="AG55" s="781" t="s">
        <v>140</v>
      </c>
      <c r="AH55" s="782" t="s">
        <v>140</v>
      </c>
      <c r="AI55" s="781" t="s">
        <v>140</v>
      </c>
      <c r="AJ55" s="783" t="s">
        <v>140</v>
      </c>
      <c r="AK55" s="783" t="s">
        <v>140</v>
      </c>
      <c r="AL55" s="783" t="s">
        <v>140</v>
      </c>
      <c r="AM55" s="783" t="s">
        <v>140</v>
      </c>
      <c r="AN55" s="177"/>
    </row>
    <row r="56" spans="1:40">
      <c r="A56" s="763">
        <v>42</v>
      </c>
      <c r="B56" s="764">
        <v>5</v>
      </c>
      <c r="C56" s="765" t="s">
        <v>1312</v>
      </c>
      <c r="D56" s="766" t="s">
        <v>1313</v>
      </c>
      <c r="E56" s="767" t="s">
        <v>1314</v>
      </c>
      <c r="F56" s="766" t="s">
        <v>248</v>
      </c>
      <c r="G56" s="767">
        <v>33772</v>
      </c>
      <c r="H56" s="766" t="s">
        <v>1313</v>
      </c>
      <c r="I56" s="767" t="s">
        <v>1314</v>
      </c>
      <c r="J56" s="766" t="s">
        <v>1173</v>
      </c>
      <c r="K56" s="767" t="s">
        <v>136</v>
      </c>
      <c r="L56" s="766">
        <v>33760</v>
      </c>
      <c r="M56" s="767" t="s">
        <v>1315</v>
      </c>
      <c r="N56" s="768" t="s">
        <v>1316</v>
      </c>
      <c r="O56" s="767" t="s">
        <v>1317</v>
      </c>
      <c r="P56" s="766" t="s">
        <v>1317</v>
      </c>
      <c r="Q56" s="833" t="s">
        <v>140</v>
      </c>
      <c r="R56" s="771" t="s">
        <v>140</v>
      </c>
      <c r="S56" s="770" t="s">
        <v>140</v>
      </c>
      <c r="T56" s="771" t="s">
        <v>1177</v>
      </c>
      <c r="U56" s="770" t="s">
        <v>1177</v>
      </c>
      <c r="V56" s="771" t="s">
        <v>1177</v>
      </c>
      <c r="W56" s="770" t="s">
        <v>140</v>
      </c>
      <c r="X56" s="771" t="s">
        <v>140</v>
      </c>
      <c r="Y56" s="770" t="s">
        <v>140</v>
      </c>
      <c r="Z56" s="771" t="s">
        <v>140</v>
      </c>
      <c r="AA56" s="770" t="s">
        <v>140</v>
      </c>
      <c r="AB56" s="771" t="s">
        <v>140</v>
      </c>
      <c r="AC56" s="770" t="s">
        <v>140</v>
      </c>
      <c r="AD56" s="771" t="s">
        <v>140</v>
      </c>
      <c r="AE56" s="770" t="s">
        <v>140</v>
      </c>
      <c r="AF56" s="771" t="s">
        <v>140</v>
      </c>
      <c r="AG56" s="770" t="s">
        <v>140</v>
      </c>
      <c r="AH56" s="771" t="s">
        <v>140</v>
      </c>
      <c r="AI56" s="770" t="s">
        <v>140</v>
      </c>
      <c r="AJ56" s="773" t="s">
        <v>140</v>
      </c>
      <c r="AK56" s="773" t="s">
        <v>140</v>
      </c>
      <c r="AL56" s="773" t="s">
        <v>140</v>
      </c>
      <c r="AM56" s="773" t="s">
        <v>140</v>
      </c>
      <c r="AN56" s="177"/>
    </row>
    <row r="57" spans="1:40">
      <c r="A57" s="763">
        <v>43</v>
      </c>
      <c r="B57" s="764">
        <v>5</v>
      </c>
      <c r="C57" s="765" t="s">
        <v>1318</v>
      </c>
      <c r="D57" s="766" t="s">
        <v>1319</v>
      </c>
      <c r="E57" s="767" t="s">
        <v>1320</v>
      </c>
      <c r="F57" s="766" t="s">
        <v>1321</v>
      </c>
      <c r="G57" s="767">
        <v>48075</v>
      </c>
      <c r="H57" s="766" t="s">
        <v>1319</v>
      </c>
      <c r="I57" s="767" t="s">
        <v>1320</v>
      </c>
      <c r="J57" s="766" t="s">
        <v>1321</v>
      </c>
      <c r="K57" s="767" t="s">
        <v>136</v>
      </c>
      <c r="L57" s="766">
        <v>48075</v>
      </c>
      <c r="M57" s="767" t="s">
        <v>1322</v>
      </c>
      <c r="N57" s="768" t="s">
        <v>1323</v>
      </c>
      <c r="O57" s="767" t="s">
        <v>1324</v>
      </c>
      <c r="P57" s="766" t="s">
        <v>1325</v>
      </c>
      <c r="Q57" s="833" t="s">
        <v>140</v>
      </c>
      <c r="R57" s="771" t="s">
        <v>140</v>
      </c>
      <c r="S57" s="770" t="s">
        <v>140</v>
      </c>
      <c r="T57" s="771" t="s">
        <v>1177</v>
      </c>
      <c r="U57" s="770" t="s">
        <v>140</v>
      </c>
      <c r="V57" s="771" t="s">
        <v>1177</v>
      </c>
      <c r="W57" s="770" t="s">
        <v>140</v>
      </c>
      <c r="X57" s="771" t="s">
        <v>140</v>
      </c>
      <c r="Y57" s="770" t="s">
        <v>140</v>
      </c>
      <c r="Z57" s="771" t="s">
        <v>140</v>
      </c>
      <c r="AA57" s="770" t="s">
        <v>140</v>
      </c>
      <c r="AB57" s="771" t="s">
        <v>140</v>
      </c>
      <c r="AC57" s="770" t="s">
        <v>140</v>
      </c>
      <c r="AD57" s="771" t="s">
        <v>140</v>
      </c>
      <c r="AE57" s="770" t="s">
        <v>140</v>
      </c>
      <c r="AF57" s="771" t="s">
        <v>140</v>
      </c>
      <c r="AG57" s="770" t="s">
        <v>140</v>
      </c>
      <c r="AH57" s="771" t="s">
        <v>140</v>
      </c>
      <c r="AI57" s="770" t="s">
        <v>140</v>
      </c>
      <c r="AJ57" s="773" t="s">
        <v>140</v>
      </c>
      <c r="AK57" s="773" t="s">
        <v>140</v>
      </c>
      <c r="AL57" s="773" t="s">
        <v>140</v>
      </c>
      <c r="AM57" s="773" t="s">
        <v>140</v>
      </c>
      <c r="AN57" s="177"/>
    </row>
    <row r="58" spans="1:40">
      <c r="A58" s="763">
        <v>44</v>
      </c>
      <c r="B58" s="764">
        <v>5</v>
      </c>
      <c r="C58" s="765" t="s">
        <v>1318</v>
      </c>
      <c r="D58" s="766" t="s">
        <v>1319</v>
      </c>
      <c r="E58" s="767" t="s">
        <v>1320</v>
      </c>
      <c r="F58" s="766" t="s">
        <v>1321</v>
      </c>
      <c r="G58" s="767">
        <v>48075</v>
      </c>
      <c r="H58" s="766" t="s">
        <v>1319</v>
      </c>
      <c r="I58" s="767" t="s">
        <v>1320</v>
      </c>
      <c r="J58" s="766" t="s">
        <v>1321</v>
      </c>
      <c r="K58" s="767" t="s">
        <v>1173</v>
      </c>
      <c r="L58" s="766">
        <v>48075</v>
      </c>
      <c r="M58" s="767" t="s">
        <v>1322</v>
      </c>
      <c r="N58" s="768" t="s">
        <v>1323</v>
      </c>
      <c r="O58" s="767" t="s">
        <v>1324</v>
      </c>
      <c r="P58" s="766" t="s">
        <v>1325</v>
      </c>
      <c r="Q58" s="833" t="s">
        <v>140</v>
      </c>
      <c r="R58" s="771" t="s">
        <v>140</v>
      </c>
      <c r="S58" s="770" t="s">
        <v>140</v>
      </c>
      <c r="T58" s="771" t="s">
        <v>1177</v>
      </c>
      <c r="U58" s="770" t="s">
        <v>140</v>
      </c>
      <c r="V58" s="771" t="s">
        <v>1177</v>
      </c>
      <c r="W58" s="770" t="s">
        <v>140</v>
      </c>
      <c r="X58" s="771" t="s">
        <v>140</v>
      </c>
      <c r="Y58" s="770" t="s">
        <v>140</v>
      </c>
      <c r="Z58" s="771" t="s">
        <v>140</v>
      </c>
      <c r="AA58" s="770" t="s">
        <v>140</v>
      </c>
      <c r="AB58" s="771" t="s">
        <v>140</v>
      </c>
      <c r="AC58" s="770" t="s">
        <v>140</v>
      </c>
      <c r="AD58" s="771" t="s">
        <v>140</v>
      </c>
      <c r="AE58" s="770" t="s">
        <v>140</v>
      </c>
      <c r="AF58" s="771" t="s">
        <v>140</v>
      </c>
      <c r="AG58" s="770" t="s">
        <v>140</v>
      </c>
      <c r="AH58" s="771" t="s">
        <v>140</v>
      </c>
      <c r="AI58" s="770" t="s">
        <v>140</v>
      </c>
      <c r="AJ58" s="773" t="s">
        <v>140</v>
      </c>
      <c r="AK58" s="773" t="s">
        <v>140</v>
      </c>
      <c r="AL58" s="773" t="s">
        <v>140</v>
      </c>
      <c r="AM58" s="773" t="s">
        <v>140</v>
      </c>
      <c r="AN58" s="177"/>
    </row>
    <row r="59" spans="1:40">
      <c r="A59" s="763">
        <v>45</v>
      </c>
      <c r="B59" s="764">
        <v>5</v>
      </c>
      <c r="C59" s="776" t="s">
        <v>1326</v>
      </c>
      <c r="D59" s="777" t="s">
        <v>1327</v>
      </c>
      <c r="E59" s="778" t="s">
        <v>1217</v>
      </c>
      <c r="F59" s="777" t="s">
        <v>248</v>
      </c>
      <c r="G59" s="778">
        <v>33760</v>
      </c>
      <c r="H59" s="777" t="s">
        <v>1327</v>
      </c>
      <c r="I59" s="778" t="s">
        <v>1217</v>
      </c>
      <c r="J59" s="777" t="s">
        <v>1173</v>
      </c>
      <c r="K59" s="778" t="s">
        <v>1173</v>
      </c>
      <c r="L59" s="777">
        <v>33760</v>
      </c>
      <c r="M59" s="767" t="s">
        <v>1328</v>
      </c>
      <c r="N59" s="779"/>
      <c r="O59" s="778" t="s">
        <v>1329</v>
      </c>
      <c r="P59" s="777" t="s">
        <v>1330</v>
      </c>
      <c r="Q59" s="834" t="s">
        <v>1177</v>
      </c>
      <c r="R59" s="782" t="s">
        <v>140</v>
      </c>
      <c r="S59" s="781" t="s">
        <v>1177</v>
      </c>
      <c r="T59" s="782" t="s">
        <v>140</v>
      </c>
      <c r="U59" s="781" t="s">
        <v>1177</v>
      </c>
      <c r="V59" s="782" t="s">
        <v>1177</v>
      </c>
      <c r="W59" s="781" t="s">
        <v>140</v>
      </c>
      <c r="X59" s="782"/>
      <c r="Y59" s="781" t="s">
        <v>1177</v>
      </c>
      <c r="Z59" s="782" t="s">
        <v>140</v>
      </c>
      <c r="AA59" s="781" t="s">
        <v>1177</v>
      </c>
      <c r="AB59" s="782" t="s">
        <v>140</v>
      </c>
      <c r="AC59" s="781" t="s">
        <v>140</v>
      </c>
      <c r="AD59" s="782" t="s">
        <v>140</v>
      </c>
      <c r="AE59" s="781" t="s">
        <v>140</v>
      </c>
      <c r="AF59" s="782" t="s">
        <v>140</v>
      </c>
      <c r="AG59" s="781" t="s">
        <v>140</v>
      </c>
      <c r="AH59" s="782" t="s">
        <v>140</v>
      </c>
      <c r="AI59" s="781" t="s">
        <v>140</v>
      </c>
      <c r="AJ59" s="783" t="s">
        <v>140</v>
      </c>
      <c r="AK59" s="783" t="s">
        <v>140</v>
      </c>
      <c r="AL59" s="783" t="s">
        <v>140</v>
      </c>
      <c r="AM59" s="783" t="s">
        <v>140</v>
      </c>
      <c r="AN59" s="177"/>
    </row>
    <row r="60" spans="1:40">
      <c r="A60" s="763">
        <v>46</v>
      </c>
      <c r="B60" s="764">
        <v>5</v>
      </c>
      <c r="C60" s="765" t="s">
        <v>1326</v>
      </c>
      <c r="D60" s="766" t="s">
        <v>1327</v>
      </c>
      <c r="E60" s="767" t="s">
        <v>1217</v>
      </c>
      <c r="F60" s="766" t="s">
        <v>248</v>
      </c>
      <c r="G60" s="767">
        <v>33760</v>
      </c>
      <c r="H60" s="766" t="s">
        <v>1327</v>
      </c>
      <c r="I60" s="767" t="s">
        <v>1217</v>
      </c>
      <c r="J60" s="766" t="s">
        <v>136</v>
      </c>
      <c r="K60" s="767" t="s">
        <v>136</v>
      </c>
      <c r="L60" s="766">
        <v>33760</v>
      </c>
      <c r="M60" s="767" t="s">
        <v>1328</v>
      </c>
      <c r="N60" s="768"/>
      <c r="O60" s="767" t="s">
        <v>1329</v>
      </c>
      <c r="P60" s="766" t="s">
        <v>1330</v>
      </c>
      <c r="Q60" s="833" t="s">
        <v>140</v>
      </c>
      <c r="R60" s="771" t="s">
        <v>140</v>
      </c>
      <c r="S60" s="770" t="s">
        <v>1177</v>
      </c>
      <c r="T60" s="771" t="s">
        <v>140</v>
      </c>
      <c r="U60" s="770" t="s">
        <v>1177</v>
      </c>
      <c r="V60" s="771" t="s">
        <v>1177</v>
      </c>
      <c r="W60" s="770" t="s">
        <v>140</v>
      </c>
      <c r="X60" s="771" t="s">
        <v>140</v>
      </c>
      <c r="Y60" s="770" t="s">
        <v>140</v>
      </c>
      <c r="Z60" s="771" t="s">
        <v>140</v>
      </c>
      <c r="AA60" s="770" t="s">
        <v>140</v>
      </c>
      <c r="AB60" s="771" t="s">
        <v>140</v>
      </c>
      <c r="AC60" s="770" t="s">
        <v>140</v>
      </c>
      <c r="AD60" s="771" t="s">
        <v>140</v>
      </c>
      <c r="AE60" s="770" t="s">
        <v>140</v>
      </c>
      <c r="AF60" s="771" t="s">
        <v>140</v>
      </c>
      <c r="AG60" s="770" t="s">
        <v>140</v>
      </c>
      <c r="AH60" s="771" t="s">
        <v>140</v>
      </c>
      <c r="AI60" s="770" t="s">
        <v>140</v>
      </c>
      <c r="AJ60" s="773" t="s">
        <v>140</v>
      </c>
      <c r="AK60" s="773" t="s">
        <v>140</v>
      </c>
      <c r="AL60" s="773" t="s">
        <v>140</v>
      </c>
      <c r="AM60" s="773" t="s">
        <v>140</v>
      </c>
      <c r="AN60" s="177"/>
    </row>
    <row r="61" spans="1:40">
      <c r="A61" s="763">
        <v>47</v>
      </c>
      <c r="B61" s="764">
        <v>5</v>
      </c>
      <c r="C61" s="765" t="s">
        <v>1331</v>
      </c>
      <c r="D61" s="766" t="s">
        <v>1332</v>
      </c>
      <c r="E61" s="767" t="s">
        <v>1210</v>
      </c>
      <c r="F61" s="766" t="s">
        <v>1333</v>
      </c>
      <c r="G61" s="767">
        <v>33701</v>
      </c>
      <c r="H61" s="766" t="s">
        <v>1332</v>
      </c>
      <c r="I61" s="767" t="s">
        <v>1210</v>
      </c>
      <c r="J61" s="766" t="s">
        <v>1173</v>
      </c>
      <c r="K61" s="767" t="s">
        <v>1173</v>
      </c>
      <c r="L61" s="766">
        <v>33701</v>
      </c>
      <c r="M61" s="767" t="s">
        <v>1334</v>
      </c>
      <c r="N61" s="768" t="s">
        <v>1335</v>
      </c>
      <c r="O61" s="767" t="s">
        <v>1336</v>
      </c>
      <c r="P61" s="766" t="s">
        <v>1337</v>
      </c>
      <c r="Q61" s="833" t="s">
        <v>140</v>
      </c>
      <c r="R61" s="771" t="s">
        <v>140</v>
      </c>
      <c r="S61" s="770" t="s">
        <v>140</v>
      </c>
      <c r="T61" s="771" t="s">
        <v>140</v>
      </c>
      <c r="U61" s="770" t="s">
        <v>140</v>
      </c>
      <c r="V61" s="771" t="s">
        <v>140</v>
      </c>
      <c r="W61" s="770" t="s">
        <v>140</v>
      </c>
      <c r="X61" s="771" t="s">
        <v>140</v>
      </c>
      <c r="Y61" s="770" t="s">
        <v>140</v>
      </c>
      <c r="Z61" s="771" t="s">
        <v>140</v>
      </c>
      <c r="AA61" s="770" t="s">
        <v>140</v>
      </c>
      <c r="AB61" s="771" t="s">
        <v>140</v>
      </c>
      <c r="AC61" s="770" t="s">
        <v>140</v>
      </c>
      <c r="AD61" s="771" t="s">
        <v>140</v>
      </c>
      <c r="AE61" s="770" t="s">
        <v>140</v>
      </c>
      <c r="AF61" s="771" t="s">
        <v>140</v>
      </c>
      <c r="AG61" s="770" t="s">
        <v>140</v>
      </c>
      <c r="AH61" s="771" t="s">
        <v>140</v>
      </c>
      <c r="AI61" s="770" t="s">
        <v>140</v>
      </c>
      <c r="AJ61" s="773" t="s">
        <v>140</v>
      </c>
      <c r="AK61" s="773" t="s">
        <v>140</v>
      </c>
      <c r="AL61" s="773" t="s">
        <v>140</v>
      </c>
      <c r="AM61" s="773" t="s">
        <v>140</v>
      </c>
      <c r="AN61" s="177"/>
    </row>
    <row r="62" spans="1:40">
      <c r="A62" s="763">
        <v>48</v>
      </c>
      <c r="B62" s="764">
        <v>5</v>
      </c>
      <c r="C62" s="765" t="s">
        <v>1338</v>
      </c>
      <c r="D62" s="766" t="s">
        <v>1339</v>
      </c>
      <c r="E62" s="767" t="s">
        <v>1223</v>
      </c>
      <c r="F62" s="766" t="s">
        <v>1340</v>
      </c>
      <c r="G62" s="767">
        <v>33603</v>
      </c>
      <c r="H62" s="766" t="s">
        <v>1339</v>
      </c>
      <c r="I62" s="767" t="s">
        <v>1223</v>
      </c>
      <c r="J62" s="766" t="s">
        <v>1340</v>
      </c>
      <c r="K62" s="767" t="s">
        <v>1173</v>
      </c>
      <c r="L62" s="766">
        <v>33603</v>
      </c>
      <c r="M62" s="767" t="s">
        <v>1341</v>
      </c>
      <c r="N62" s="768" t="s">
        <v>1342</v>
      </c>
      <c r="O62" s="767" t="s">
        <v>1343</v>
      </c>
      <c r="P62" s="766" t="s">
        <v>1344</v>
      </c>
      <c r="Q62" s="833" t="s">
        <v>140</v>
      </c>
      <c r="R62" s="771" t="s">
        <v>140</v>
      </c>
      <c r="S62" s="770" t="s">
        <v>140</v>
      </c>
      <c r="T62" s="771" t="s">
        <v>1177</v>
      </c>
      <c r="U62" s="770" t="s">
        <v>1177</v>
      </c>
      <c r="V62" s="771" t="s">
        <v>1177</v>
      </c>
      <c r="W62" s="770" t="s">
        <v>140</v>
      </c>
      <c r="X62" s="771" t="s">
        <v>1177</v>
      </c>
      <c r="Y62" s="770" t="s">
        <v>140</v>
      </c>
      <c r="Z62" s="771" t="s">
        <v>140</v>
      </c>
      <c r="AA62" s="770" t="s">
        <v>140</v>
      </c>
      <c r="AB62" s="771" t="s">
        <v>140</v>
      </c>
      <c r="AC62" s="770" t="s">
        <v>140</v>
      </c>
      <c r="AD62" s="771" t="s">
        <v>140</v>
      </c>
      <c r="AE62" s="770" t="s">
        <v>140</v>
      </c>
      <c r="AF62" s="771" t="s">
        <v>140</v>
      </c>
      <c r="AG62" s="770" t="s">
        <v>140</v>
      </c>
      <c r="AH62" s="771" t="s">
        <v>140</v>
      </c>
      <c r="AI62" s="770" t="s">
        <v>140</v>
      </c>
      <c r="AJ62" s="773" t="s">
        <v>140</v>
      </c>
      <c r="AK62" s="773" t="s">
        <v>140</v>
      </c>
      <c r="AL62" s="773" t="s">
        <v>140</v>
      </c>
      <c r="AM62" s="773" t="s">
        <v>140</v>
      </c>
      <c r="AN62" s="177"/>
    </row>
    <row r="63" spans="1:40">
      <c r="A63" s="763">
        <v>49</v>
      </c>
      <c r="B63" s="764">
        <v>5</v>
      </c>
      <c r="C63" s="765" t="s">
        <v>1338</v>
      </c>
      <c r="D63" s="766" t="s">
        <v>1339</v>
      </c>
      <c r="E63" s="767" t="s">
        <v>1223</v>
      </c>
      <c r="F63" s="766" t="s">
        <v>1340</v>
      </c>
      <c r="G63" s="767">
        <v>33603</v>
      </c>
      <c r="H63" s="766" t="s">
        <v>1339</v>
      </c>
      <c r="I63" s="767" t="s">
        <v>1223</v>
      </c>
      <c r="J63" s="766" t="s">
        <v>1340</v>
      </c>
      <c r="K63" s="767" t="s">
        <v>136</v>
      </c>
      <c r="L63" s="766">
        <v>33603</v>
      </c>
      <c r="M63" s="767" t="s">
        <v>1341</v>
      </c>
      <c r="N63" s="768" t="s">
        <v>1342</v>
      </c>
      <c r="O63" s="767" t="s">
        <v>1343</v>
      </c>
      <c r="P63" s="766" t="s">
        <v>1344</v>
      </c>
      <c r="Q63" s="833" t="s">
        <v>140</v>
      </c>
      <c r="R63" s="771" t="s">
        <v>140</v>
      </c>
      <c r="S63" s="770" t="s">
        <v>140</v>
      </c>
      <c r="T63" s="771" t="s">
        <v>1177</v>
      </c>
      <c r="U63" s="770" t="s">
        <v>1177</v>
      </c>
      <c r="V63" s="771" t="s">
        <v>1177</v>
      </c>
      <c r="W63" s="770" t="s">
        <v>140</v>
      </c>
      <c r="X63" s="771" t="s">
        <v>1177</v>
      </c>
      <c r="Y63" s="770" t="s">
        <v>140</v>
      </c>
      <c r="Z63" s="771" t="s">
        <v>140</v>
      </c>
      <c r="AA63" s="770" t="s">
        <v>140</v>
      </c>
      <c r="AB63" s="771" t="s">
        <v>140</v>
      </c>
      <c r="AC63" s="770" t="s">
        <v>140</v>
      </c>
      <c r="AD63" s="771" t="s">
        <v>140</v>
      </c>
      <c r="AE63" s="770" t="s">
        <v>140</v>
      </c>
      <c r="AF63" s="771" t="s">
        <v>140</v>
      </c>
      <c r="AG63" s="770" t="s">
        <v>140</v>
      </c>
      <c r="AH63" s="771" t="s">
        <v>140</v>
      </c>
      <c r="AI63" s="770" t="s">
        <v>140</v>
      </c>
      <c r="AJ63" s="773" t="s">
        <v>140</v>
      </c>
      <c r="AK63" s="773" t="s">
        <v>140</v>
      </c>
      <c r="AL63" s="773" t="s">
        <v>140</v>
      </c>
      <c r="AM63" s="773" t="s">
        <v>140</v>
      </c>
      <c r="AN63" s="177"/>
    </row>
    <row r="64" spans="1:40">
      <c r="A64" s="763">
        <v>50</v>
      </c>
      <c r="B64" s="764">
        <v>5</v>
      </c>
      <c r="C64" s="765" t="s">
        <v>1345</v>
      </c>
      <c r="D64" s="766" t="s">
        <v>1346</v>
      </c>
      <c r="E64" s="767" t="s">
        <v>1180</v>
      </c>
      <c r="F64" s="766" t="s">
        <v>248</v>
      </c>
      <c r="G64" s="767">
        <v>33771</v>
      </c>
      <c r="H64" s="766" t="s">
        <v>1346</v>
      </c>
      <c r="I64" s="767" t="s">
        <v>1180</v>
      </c>
      <c r="J64" s="766" t="s">
        <v>248</v>
      </c>
      <c r="K64" s="767" t="s">
        <v>1173</v>
      </c>
      <c r="L64" s="766">
        <v>33771</v>
      </c>
      <c r="M64" s="767" t="s">
        <v>1347</v>
      </c>
      <c r="N64" s="768" t="s">
        <v>1348</v>
      </c>
      <c r="O64" s="767" t="s">
        <v>1349</v>
      </c>
      <c r="P64" s="766" t="s">
        <v>1349</v>
      </c>
      <c r="Q64" s="833" t="s">
        <v>140</v>
      </c>
      <c r="R64" s="771" t="s">
        <v>140</v>
      </c>
      <c r="S64" s="770" t="s">
        <v>140</v>
      </c>
      <c r="T64" s="771" t="s">
        <v>1177</v>
      </c>
      <c r="U64" s="770" t="s">
        <v>1177</v>
      </c>
      <c r="V64" s="771" t="s">
        <v>1177</v>
      </c>
      <c r="W64" s="770" t="s">
        <v>140</v>
      </c>
      <c r="X64" s="771" t="s">
        <v>140</v>
      </c>
      <c r="Y64" s="770" t="s">
        <v>140</v>
      </c>
      <c r="Z64" s="771" t="s">
        <v>140</v>
      </c>
      <c r="AA64" s="770" t="s">
        <v>140</v>
      </c>
      <c r="AB64" s="771" t="s">
        <v>140</v>
      </c>
      <c r="AC64" s="770" t="s">
        <v>140</v>
      </c>
      <c r="AD64" s="771" t="s">
        <v>140</v>
      </c>
      <c r="AE64" s="770" t="s">
        <v>140</v>
      </c>
      <c r="AF64" s="771" t="s">
        <v>140</v>
      </c>
      <c r="AG64" s="770" t="s">
        <v>140</v>
      </c>
      <c r="AH64" s="771" t="s">
        <v>140</v>
      </c>
      <c r="AI64" s="770" t="s">
        <v>140</v>
      </c>
      <c r="AJ64" s="773" t="s">
        <v>140</v>
      </c>
      <c r="AK64" s="773" t="s">
        <v>140</v>
      </c>
      <c r="AL64" s="773" t="s">
        <v>140</v>
      </c>
      <c r="AM64" s="773" t="s">
        <v>140</v>
      </c>
      <c r="AN64" s="177"/>
    </row>
    <row r="65" spans="1:40">
      <c r="A65" s="763">
        <v>51</v>
      </c>
      <c r="B65" s="764">
        <v>5</v>
      </c>
      <c r="C65" s="765" t="s">
        <v>1350</v>
      </c>
      <c r="D65" s="766" t="s">
        <v>1351</v>
      </c>
      <c r="E65" s="767" t="s">
        <v>1217</v>
      </c>
      <c r="F65" s="766" t="s">
        <v>248</v>
      </c>
      <c r="G65" s="767">
        <v>33756</v>
      </c>
      <c r="H65" s="766" t="s">
        <v>1352</v>
      </c>
      <c r="I65" s="767" t="s">
        <v>1217</v>
      </c>
      <c r="J65" s="766" t="s">
        <v>1173</v>
      </c>
      <c r="K65" s="767" t="s">
        <v>1173</v>
      </c>
      <c r="L65" s="766">
        <v>33756</v>
      </c>
      <c r="M65" s="767" t="s">
        <v>1353</v>
      </c>
      <c r="N65" s="768" t="s">
        <v>1354</v>
      </c>
      <c r="O65" s="767" t="s">
        <v>1355</v>
      </c>
      <c r="P65" s="766" t="s">
        <v>1356</v>
      </c>
      <c r="Q65" s="833" t="s">
        <v>140</v>
      </c>
      <c r="R65" s="771" t="s">
        <v>140</v>
      </c>
      <c r="S65" s="770" t="s">
        <v>140</v>
      </c>
      <c r="T65" s="771" t="s">
        <v>1177</v>
      </c>
      <c r="U65" s="770" t="s">
        <v>1177</v>
      </c>
      <c r="V65" s="771" t="s">
        <v>1177</v>
      </c>
      <c r="W65" s="770" t="s">
        <v>140</v>
      </c>
      <c r="X65" s="771" t="s">
        <v>140</v>
      </c>
      <c r="Y65" s="770" t="s">
        <v>140</v>
      </c>
      <c r="Z65" s="771" t="s">
        <v>140</v>
      </c>
      <c r="AA65" s="770" t="s">
        <v>140</v>
      </c>
      <c r="AB65" s="771" t="s">
        <v>140</v>
      </c>
      <c r="AC65" s="770" t="s">
        <v>140</v>
      </c>
      <c r="AD65" s="771" t="s">
        <v>140</v>
      </c>
      <c r="AE65" s="770" t="s">
        <v>140</v>
      </c>
      <c r="AF65" s="771" t="s">
        <v>140</v>
      </c>
      <c r="AG65" s="770" t="s">
        <v>140</v>
      </c>
      <c r="AH65" s="771" t="s">
        <v>140</v>
      </c>
      <c r="AI65" s="770" t="s">
        <v>140</v>
      </c>
      <c r="AJ65" s="773" t="s">
        <v>140</v>
      </c>
      <c r="AK65" s="773" t="s">
        <v>140</v>
      </c>
      <c r="AL65" s="773" t="s">
        <v>140</v>
      </c>
      <c r="AM65" s="773" t="s">
        <v>140</v>
      </c>
      <c r="AN65" s="177"/>
    </row>
    <row r="66" spans="1:40">
      <c r="A66" s="763">
        <v>52</v>
      </c>
      <c r="B66" s="764">
        <v>5</v>
      </c>
      <c r="C66" s="784" t="s">
        <v>1350</v>
      </c>
      <c r="D66" s="766" t="s">
        <v>1351</v>
      </c>
      <c r="E66" s="785" t="s">
        <v>1217</v>
      </c>
      <c r="F66" s="774" t="s">
        <v>248</v>
      </c>
      <c r="G66" s="785">
        <v>33756</v>
      </c>
      <c r="H66" s="766" t="s">
        <v>1352</v>
      </c>
      <c r="I66" s="785" t="s">
        <v>1217</v>
      </c>
      <c r="J66" s="774" t="s">
        <v>1173</v>
      </c>
      <c r="K66" s="785" t="s">
        <v>136</v>
      </c>
      <c r="L66" s="774">
        <v>33756</v>
      </c>
      <c r="M66" s="785" t="s">
        <v>1353</v>
      </c>
      <c r="N66" s="786" t="s">
        <v>1354</v>
      </c>
      <c r="O66" s="785" t="s">
        <v>1355</v>
      </c>
      <c r="P66" s="774" t="s">
        <v>1356</v>
      </c>
      <c r="Q66" s="835" t="s">
        <v>140</v>
      </c>
      <c r="R66" s="788" t="s">
        <v>140</v>
      </c>
      <c r="S66" s="787" t="s">
        <v>140</v>
      </c>
      <c r="T66" s="788" t="s">
        <v>1177</v>
      </c>
      <c r="U66" s="787" t="s">
        <v>1177</v>
      </c>
      <c r="V66" s="788" t="s">
        <v>1177</v>
      </c>
      <c r="W66" s="787" t="s">
        <v>140</v>
      </c>
      <c r="X66" s="788" t="s">
        <v>140</v>
      </c>
      <c r="Y66" s="787" t="s">
        <v>140</v>
      </c>
      <c r="Z66" s="788" t="s">
        <v>140</v>
      </c>
      <c r="AA66" s="787" t="s">
        <v>140</v>
      </c>
      <c r="AB66" s="788" t="s">
        <v>140</v>
      </c>
      <c r="AC66" s="787" t="s">
        <v>140</v>
      </c>
      <c r="AD66" s="788" t="s">
        <v>140</v>
      </c>
      <c r="AE66" s="787" t="s">
        <v>140</v>
      </c>
      <c r="AF66" s="788" t="s">
        <v>140</v>
      </c>
      <c r="AG66" s="787" t="s">
        <v>140</v>
      </c>
      <c r="AH66" s="788" t="s">
        <v>140</v>
      </c>
      <c r="AI66" s="787" t="s">
        <v>140</v>
      </c>
      <c r="AJ66" s="789" t="s">
        <v>140</v>
      </c>
      <c r="AK66" s="789" t="s">
        <v>140</v>
      </c>
      <c r="AL66" s="789" t="s">
        <v>140</v>
      </c>
      <c r="AM66" s="789" t="s">
        <v>140</v>
      </c>
      <c r="AN66" s="177"/>
    </row>
    <row r="67" spans="1:40">
      <c r="A67" s="763">
        <v>53</v>
      </c>
      <c r="B67" s="764">
        <v>5</v>
      </c>
      <c r="C67" s="791" t="s">
        <v>1357</v>
      </c>
      <c r="D67" s="792" t="s">
        <v>1358</v>
      </c>
      <c r="E67" s="793" t="s">
        <v>1217</v>
      </c>
      <c r="F67" s="792" t="s">
        <v>248</v>
      </c>
      <c r="G67" s="793">
        <v>33765</v>
      </c>
      <c r="H67" s="792" t="s">
        <v>1359</v>
      </c>
      <c r="I67" s="793" t="s">
        <v>1217</v>
      </c>
      <c r="J67" s="792" t="s">
        <v>1173</v>
      </c>
      <c r="K67" s="793" t="s">
        <v>1173</v>
      </c>
      <c r="L67" s="792">
        <v>33765</v>
      </c>
      <c r="M67" s="793" t="s">
        <v>1360</v>
      </c>
      <c r="N67" s="794" t="s">
        <v>1361</v>
      </c>
      <c r="O67" s="793" t="s">
        <v>1362</v>
      </c>
      <c r="P67" s="792" t="s">
        <v>1363</v>
      </c>
      <c r="Q67" s="836"/>
      <c r="R67" s="796"/>
      <c r="S67" s="795"/>
      <c r="T67" s="796" t="s">
        <v>1177</v>
      </c>
      <c r="U67" s="795" t="s">
        <v>1177</v>
      </c>
      <c r="V67" s="796" t="s">
        <v>1177</v>
      </c>
      <c r="W67" s="795"/>
      <c r="X67" s="796"/>
      <c r="Y67" s="795"/>
      <c r="Z67" s="796"/>
      <c r="AA67" s="795"/>
      <c r="AB67" s="796"/>
      <c r="AC67" s="795"/>
      <c r="AD67" s="796"/>
      <c r="AE67" s="795"/>
      <c r="AF67" s="796"/>
      <c r="AG67" s="795"/>
      <c r="AH67" s="796"/>
      <c r="AI67" s="795"/>
      <c r="AJ67" s="797"/>
      <c r="AK67" s="798"/>
      <c r="AL67" s="798"/>
      <c r="AM67" s="798"/>
    </row>
    <row r="68" spans="1:40">
      <c r="A68" s="763">
        <v>54</v>
      </c>
      <c r="B68" s="764">
        <v>5</v>
      </c>
      <c r="C68" s="791" t="s">
        <v>1357</v>
      </c>
      <c r="D68" s="792" t="s">
        <v>1364</v>
      </c>
      <c r="E68" s="793" t="s">
        <v>1217</v>
      </c>
      <c r="F68" s="792" t="s">
        <v>248</v>
      </c>
      <c r="G68" s="793">
        <v>33766</v>
      </c>
      <c r="H68" s="792" t="s">
        <v>1365</v>
      </c>
      <c r="I68" s="793" t="s">
        <v>1217</v>
      </c>
      <c r="J68" s="792" t="s">
        <v>1173</v>
      </c>
      <c r="K68" s="793" t="s">
        <v>1220</v>
      </c>
      <c r="L68" s="792">
        <v>33765</v>
      </c>
      <c r="M68" s="793" t="s">
        <v>1360</v>
      </c>
      <c r="N68" s="794" t="s">
        <v>1361</v>
      </c>
      <c r="O68" s="793" t="s">
        <v>1362</v>
      </c>
      <c r="P68" s="792" t="s">
        <v>1363</v>
      </c>
      <c r="Q68" s="836"/>
      <c r="R68" s="796"/>
      <c r="S68" s="795"/>
      <c r="T68" s="796" t="s">
        <v>1177</v>
      </c>
      <c r="U68" s="795" t="s">
        <v>1177</v>
      </c>
      <c r="V68" s="796" t="s">
        <v>1177</v>
      </c>
      <c r="W68" s="795"/>
      <c r="X68" s="796"/>
      <c r="Y68" s="795"/>
      <c r="Z68" s="796"/>
      <c r="AA68" s="795"/>
      <c r="AB68" s="796"/>
      <c r="AC68" s="795"/>
      <c r="AD68" s="796"/>
      <c r="AE68" s="795"/>
      <c r="AF68" s="796"/>
      <c r="AG68" s="795"/>
      <c r="AH68" s="796"/>
      <c r="AI68" s="795"/>
      <c r="AJ68" s="797"/>
      <c r="AK68" s="798"/>
      <c r="AL68" s="798"/>
      <c r="AM68" s="798"/>
    </row>
    <row r="69" spans="1:40">
      <c r="A69" s="763"/>
      <c r="B69" s="764">
        <v>5</v>
      </c>
      <c r="C69" s="844" t="s">
        <v>1366</v>
      </c>
      <c r="D69" s="845" t="s">
        <v>1367</v>
      </c>
      <c r="E69" s="846" t="s">
        <v>1368</v>
      </c>
      <c r="F69" s="845" t="s">
        <v>136</v>
      </c>
      <c r="G69" s="846">
        <v>34667</v>
      </c>
      <c r="H69" s="845" t="s">
        <v>1367</v>
      </c>
      <c r="I69" s="846" t="s">
        <v>1368</v>
      </c>
      <c r="J69" s="845" t="s">
        <v>136</v>
      </c>
      <c r="K69" s="846" t="s">
        <v>1220</v>
      </c>
      <c r="L69" s="845">
        <v>34667</v>
      </c>
      <c r="M69" s="846" t="s">
        <v>1369</v>
      </c>
      <c r="N69" s="847" t="s">
        <v>1369</v>
      </c>
      <c r="O69" s="846" t="s">
        <v>1370</v>
      </c>
      <c r="P69" s="845" t="s">
        <v>1371</v>
      </c>
      <c r="Q69" s="848"/>
      <c r="R69" s="849"/>
      <c r="S69" s="850"/>
      <c r="T69" s="849" t="s">
        <v>1177</v>
      </c>
      <c r="U69" s="850"/>
      <c r="V69" s="849"/>
      <c r="W69" s="850"/>
      <c r="X69" s="849"/>
      <c r="Y69" s="850"/>
      <c r="Z69" s="849"/>
      <c r="AA69" s="850" t="s">
        <v>1177</v>
      </c>
      <c r="AB69" s="849"/>
      <c r="AC69" s="850"/>
      <c r="AD69" s="849"/>
      <c r="AE69" s="850"/>
      <c r="AF69" s="849"/>
      <c r="AG69" s="850"/>
      <c r="AH69" s="849"/>
      <c r="AI69" s="850"/>
      <c r="AJ69" s="849"/>
      <c r="AK69" s="849"/>
      <c r="AL69" s="849"/>
      <c r="AM69" s="849"/>
    </row>
    <row r="70" spans="1:40">
      <c r="A70" s="763">
        <v>55</v>
      </c>
      <c r="B70" s="764">
        <v>5</v>
      </c>
      <c r="C70" s="765" t="s">
        <v>1372</v>
      </c>
      <c r="D70" s="766" t="s">
        <v>1373</v>
      </c>
      <c r="E70" s="767" t="s">
        <v>1374</v>
      </c>
      <c r="F70" s="766" t="s">
        <v>1375</v>
      </c>
      <c r="G70" s="767">
        <v>33306</v>
      </c>
      <c r="H70" s="766" t="s">
        <v>1376</v>
      </c>
      <c r="I70" s="767" t="s">
        <v>1377</v>
      </c>
      <c r="J70" s="766" t="s">
        <v>1340</v>
      </c>
      <c r="K70" s="767" t="s">
        <v>1173</v>
      </c>
      <c r="L70" s="766">
        <v>33511</v>
      </c>
      <c r="M70" s="767" t="s">
        <v>1378</v>
      </c>
      <c r="N70" s="768" t="s">
        <v>1379</v>
      </c>
      <c r="O70" s="767" t="s">
        <v>1380</v>
      </c>
      <c r="P70" s="766" t="s">
        <v>1380</v>
      </c>
      <c r="Q70" s="837" t="s">
        <v>140</v>
      </c>
      <c r="R70" s="800" t="s">
        <v>140</v>
      </c>
      <c r="S70" s="799" t="s">
        <v>140</v>
      </c>
      <c r="T70" s="800" t="s">
        <v>1177</v>
      </c>
      <c r="U70" s="799" t="s">
        <v>1177</v>
      </c>
      <c r="V70" s="800" t="s">
        <v>1177</v>
      </c>
      <c r="W70" s="799" t="s">
        <v>140</v>
      </c>
      <c r="X70" s="800" t="s">
        <v>140</v>
      </c>
      <c r="Y70" s="799" t="s">
        <v>140</v>
      </c>
      <c r="Z70" s="800" t="s">
        <v>140</v>
      </c>
      <c r="AA70" s="799" t="s">
        <v>140</v>
      </c>
      <c r="AB70" s="800" t="s">
        <v>140</v>
      </c>
      <c r="AC70" s="799" t="s">
        <v>140</v>
      </c>
      <c r="AD70" s="800" t="s">
        <v>140</v>
      </c>
      <c r="AE70" s="799" t="s">
        <v>140</v>
      </c>
      <c r="AF70" s="800" t="s">
        <v>140</v>
      </c>
      <c r="AG70" s="799" t="s">
        <v>140</v>
      </c>
      <c r="AH70" s="800" t="s">
        <v>140</v>
      </c>
      <c r="AI70" s="799" t="s">
        <v>140</v>
      </c>
      <c r="AJ70" s="801" t="s">
        <v>140</v>
      </c>
      <c r="AK70" s="801" t="s">
        <v>140</v>
      </c>
      <c r="AL70" s="801" t="s">
        <v>140</v>
      </c>
      <c r="AM70" s="801" t="s">
        <v>140</v>
      </c>
      <c r="AN70" s="177"/>
    </row>
    <row r="71" spans="1:40">
      <c r="A71" s="763">
        <v>56</v>
      </c>
      <c r="B71" s="764">
        <v>5</v>
      </c>
      <c r="C71" s="765" t="s">
        <v>1372</v>
      </c>
      <c r="D71" s="766" t="s">
        <v>1373</v>
      </c>
      <c r="E71" s="767" t="s">
        <v>1374</v>
      </c>
      <c r="F71" s="766" t="s">
        <v>1375</v>
      </c>
      <c r="G71" s="767">
        <v>33306</v>
      </c>
      <c r="H71" s="766" t="s">
        <v>1376</v>
      </c>
      <c r="I71" s="767" t="s">
        <v>1377</v>
      </c>
      <c r="J71" s="766" t="s">
        <v>1340</v>
      </c>
      <c r="K71" s="767" t="s">
        <v>136</v>
      </c>
      <c r="L71" s="766">
        <v>33511</v>
      </c>
      <c r="M71" s="767" t="s">
        <v>1378</v>
      </c>
      <c r="N71" s="768" t="s">
        <v>1379</v>
      </c>
      <c r="O71" s="767" t="s">
        <v>1380</v>
      </c>
      <c r="P71" s="766" t="s">
        <v>1380</v>
      </c>
      <c r="Q71" s="837" t="s">
        <v>140</v>
      </c>
      <c r="R71" s="800" t="s">
        <v>140</v>
      </c>
      <c r="S71" s="799" t="s">
        <v>140</v>
      </c>
      <c r="T71" s="800" t="s">
        <v>1177</v>
      </c>
      <c r="U71" s="799" t="s">
        <v>1177</v>
      </c>
      <c r="V71" s="800" t="s">
        <v>1177</v>
      </c>
      <c r="W71" s="799" t="s">
        <v>140</v>
      </c>
      <c r="X71" s="800" t="s">
        <v>140</v>
      </c>
      <c r="Y71" s="799" t="s">
        <v>140</v>
      </c>
      <c r="Z71" s="800" t="s">
        <v>140</v>
      </c>
      <c r="AA71" s="799" t="s">
        <v>140</v>
      </c>
      <c r="AB71" s="800" t="s">
        <v>140</v>
      </c>
      <c r="AC71" s="799" t="s">
        <v>140</v>
      </c>
      <c r="AD71" s="800" t="s">
        <v>140</v>
      </c>
      <c r="AE71" s="799" t="s">
        <v>140</v>
      </c>
      <c r="AF71" s="800" t="s">
        <v>140</v>
      </c>
      <c r="AG71" s="799" t="s">
        <v>140</v>
      </c>
      <c r="AH71" s="800" t="s">
        <v>140</v>
      </c>
      <c r="AI71" s="799" t="s">
        <v>140</v>
      </c>
      <c r="AJ71" s="801" t="s">
        <v>140</v>
      </c>
      <c r="AK71" s="801" t="s">
        <v>140</v>
      </c>
      <c r="AL71" s="801" t="s">
        <v>140</v>
      </c>
      <c r="AM71" s="801" t="s">
        <v>140</v>
      </c>
      <c r="AN71" s="177"/>
    </row>
    <row r="72" spans="1:40">
      <c r="A72" s="763">
        <v>57</v>
      </c>
      <c r="B72" s="764">
        <v>5</v>
      </c>
      <c r="C72" s="802" t="s">
        <v>1381</v>
      </c>
      <c r="D72" s="803" t="s">
        <v>1382</v>
      </c>
      <c r="E72" s="804" t="s">
        <v>1210</v>
      </c>
      <c r="F72" s="803" t="s">
        <v>248</v>
      </c>
      <c r="G72" s="804">
        <v>33710</v>
      </c>
      <c r="H72" s="803" t="s">
        <v>1382</v>
      </c>
      <c r="I72" s="804" t="s">
        <v>1210</v>
      </c>
      <c r="J72" s="803" t="s">
        <v>1173</v>
      </c>
      <c r="K72" s="804" t="s">
        <v>1173</v>
      </c>
      <c r="L72" s="803">
        <v>33710</v>
      </c>
      <c r="M72" s="804" t="s">
        <v>1383</v>
      </c>
      <c r="N72" s="805" t="s">
        <v>1384</v>
      </c>
      <c r="O72" s="804" t="s">
        <v>1385</v>
      </c>
      <c r="P72" s="803" t="s">
        <v>1386</v>
      </c>
      <c r="Q72" s="838" t="s">
        <v>140</v>
      </c>
      <c r="R72" s="807" t="s">
        <v>140</v>
      </c>
      <c r="S72" s="806" t="s">
        <v>140</v>
      </c>
      <c r="T72" s="807" t="s">
        <v>1177</v>
      </c>
      <c r="U72" s="806" t="s">
        <v>1177</v>
      </c>
      <c r="V72" s="807" t="s">
        <v>1177</v>
      </c>
      <c r="W72" s="806" t="s">
        <v>140</v>
      </c>
      <c r="X72" s="807" t="s">
        <v>140</v>
      </c>
      <c r="Y72" s="806" t="s">
        <v>140</v>
      </c>
      <c r="Z72" s="807" t="s">
        <v>140</v>
      </c>
      <c r="AA72" s="806" t="s">
        <v>140</v>
      </c>
      <c r="AB72" s="807" t="s">
        <v>140</v>
      </c>
      <c r="AC72" s="806" t="s">
        <v>140</v>
      </c>
      <c r="AD72" s="807" t="s">
        <v>140</v>
      </c>
      <c r="AE72" s="806" t="s">
        <v>140</v>
      </c>
      <c r="AF72" s="807" t="s">
        <v>140</v>
      </c>
      <c r="AG72" s="806" t="s">
        <v>140</v>
      </c>
      <c r="AH72" s="807" t="s">
        <v>140</v>
      </c>
      <c r="AI72" s="806" t="s">
        <v>140</v>
      </c>
      <c r="AJ72" s="808" t="s">
        <v>140</v>
      </c>
      <c r="AK72" s="809" t="s">
        <v>140</v>
      </c>
      <c r="AL72" s="809" t="s">
        <v>140</v>
      </c>
      <c r="AM72" s="809" t="s">
        <v>140</v>
      </c>
      <c r="AN72" s="177"/>
    </row>
    <row r="73" spans="1:40">
      <c r="A73" s="763">
        <v>58</v>
      </c>
      <c r="B73" s="764">
        <v>5</v>
      </c>
      <c r="C73" s="765" t="s">
        <v>1387</v>
      </c>
      <c r="D73" s="766" t="s">
        <v>1388</v>
      </c>
      <c r="E73" s="767" t="s">
        <v>1217</v>
      </c>
      <c r="F73" s="766" t="s">
        <v>248</v>
      </c>
      <c r="G73" s="767">
        <v>33760</v>
      </c>
      <c r="H73" s="766" t="s">
        <v>1388</v>
      </c>
      <c r="I73" s="767" t="s">
        <v>1217</v>
      </c>
      <c r="J73" s="766" t="s">
        <v>248</v>
      </c>
      <c r="K73" s="767" t="s">
        <v>1173</v>
      </c>
      <c r="L73" s="766">
        <v>33760</v>
      </c>
      <c r="M73" s="767" t="s">
        <v>1389</v>
      </c>
      <c r="N73" s="768" t="s">
        <v>1390</v>
      </c>
      <c r="O73" s="767" t="s">
        <v>1391</v>
      </c>
      <c r="P73" s="766" t="s">
        <v>1392</v>
      </c>
      <c r="Q73" s="833" t="s">
        <v>140</v>
      </c>
      <c r="R73" s="771" t="s">
        <v>140</v>
      </c>
      <c r="S73" s="770" t="s">
        <v>1177</v>
      </c>
      <c r="T73" s="771" t="s">
        <v>140</v>
      </c>
      <c r="U73" s="770" t="s">
        <v>1177</v>
      </c>
      <c r="V73" s="771" t="s">
        <v>1177</v>
      </c>
      <c r="W73" s="770" t="s">
        <v>140</v>
      </c>
      <c r="X73" s="771" t="s">
        <v>140</v>
      </c>
      <c r="Y73" s="770" t="s">
        <v>1177</v>
      </c>
      <c r="Z73" s="771" t="s">
        <v>1177</v>
      </c>
      <c r="AA73" s="770" t="s">
        <v>1177</v>
      </c>
      <c r="AB73" s="771" t="s">
        <v>140</v>
      </c>
      <c r="AC73" s="770" t="s">
        <v>140</v>
      </c>
      <c r="AD73" s="771" t="s">
        <v>140</v>
      </c>
      <c r="AE73" s="770" t="s">
        <v>140</v>
      </c>
      <c r="AF73" s="771" t="s">
        <v>140</v>
      </c>
      <c r="AG73" s="770" t="s">
        <v>140</v>
      </c>
      <c r="AH73" s="771" t="s">
        <v>140</v>
      </c>
      <c r="AI73" s="770" t="s">
        <v>140</v>
      </c>
      <c r="AJ73" s="773" t="s">
        <v>140</v>
      </c>
      <c r="AK73" s="773" t="s">
        <v>140</v>
      </c>
      <c r="AL73" s="773" t="s">
        <v>140</v>
      </c>
      <c r="AM73" s="773" t="s">
        <v>140</v>
      </c>
      <c r="AN73" s="177"/>
    </row>
    <row r="74" spans="1:40">
      <c r="A74" s="763">
        <v>59</v>
      </c>
      <c r="B74" s="764">
        <v>5</v>
      </c>
      <c r="C74" s="765" t="s">
        <v>1393</v>
      </c>
      <c r="D74" s="766" t="s">
        <v>1394</v>
      </c>
      <c r="E74" s="767" t="s">
        <v>1210</v>
      </c>
      <c r="F74" s="766" t="s">
        <v>248</v>
      </c>
      <c r="G74" s="767">
        <v>33710</v>
      </c>
      <c r="H74" s="766" t="s">
        <v>1394</v>
      </c>
      <c r="I74" s="767" t="s">
        <v>1210</v>
      </c>
      <c r="J74" s="766" t="s">
        <v>248</v>
      </c>
      <c r="K74" s="767" t="s">
        <v>136</v>
      </c>
      <c r="L74" s="766">
        <v>33710</v>
      </c>
      <c r="M74" s="767" t="s">
        <v>1395</v>
      </c>
      <c r="N74" s="768" t="s">
        <v>1396</v>
      </c>
      <c r="O74" s="767" t="s">
        <v>1397</v>
      </c>
      <c r="P74" s="766" t="s">
        <v>1397</v>
      </c>
      <c r="Q74" s="833"/>
      <c r="R74" s="771"/>
      <c r="S74" s="770"/>
      <c r="T74" s="771" t="s">
        <v>1177</v>
      </c>
      <c r="U74" s="770" t="s">
        <v>1177</v>
      </c>
      <c r="V74" s="771" t="s">
        <v>1177</v>
      </c>
      <c r="W74" s="770"/>
      <c r="X74" s="771"/>
      <c r="Y74" s="770"/>
      <c r="Z74" s="771"/>
      <c r="AA74" s="770"/>
      <c r="AB74" s="771"/>
      <c r="AC74" s="770"/>
      <c r="AD74" s="771"/>
      <c r="AE74" s="770"/>
      <c r="AF74" s="771"/>
      <c r="AG74" s="770"/>
      <c r="AH74" s="771"/>
      <c r="AI74" s="770"/>
      <c r="AJ74" s="773"/>
      <c r="AK74" s="773"/>
      <c r="AL74" s="773"/>
      <c r="AM74" s="773"/>
      <c r="AN74" s="177"/>
    </row>
    <row r="75" spans="1:40">
      <c r="A75" s="763">
        <v>60</v>
      </c>
      <c r="B75" s="764">
        <v>5</v>
      </c>
      <c r="C75" s="765" t="s">
        <v>1393</v>
      </c>
      <c r="D75" s="766" t="s">
        <v>1394</v>
      </c>
      <c r="E75" s="767" t="s">
        <v>1210</v>
      </c>
      <c r="F75" s="766" t="s">
        <v>248</v>
      </c>
      <c r="G75" s="767">
        <v>33710</v>
      </c>
      <c r="H75" s="766" t="s">
        <v>1394</v>
      </c>
      <c r="I75" s="767" t="s">
        <v>1210</v>
      </c>
      <c r="J75" s="766" t="s">
        <v>248</v>
      </c>
      <c r="K75" s="767" t="s">
        <v>1173</v>
      </c>
      <c r="L75" s="766">
        <v>33710</v>
      </c>
      <c r="M75" s="767" t="s">
        <v>1395</v>
      </c>
      <c r="N75" s="768" t="s">
        <v>1396</v>
      </c>
      <c r="O75" s="767" t="s">
        <v>1397</v>
      </c>
      <c r="P75" s="766" t="s">
        <v>1397</v>
      </c>
      <c r="Q75" s="833"/>
      <c r="R75" s="771"/>
      <c r="S75" s="770"/>
      <c r="T75" s="771" t="s">
        <v>1177</v>
      </c>
      <c r="U75" s="770" t="s">
        <v>1177</v>
      </c>
      <c r="V75" s="771" t="s">
        <v>1177</v>
      </c>
      <c r="W75" s="770"/>
      <c r="X75" s="771"/>
      <c r="Y75" s="770"/>
      <c r="Z75" s="771"/>
      <c r="AA75" s="770"/>
      <c r="AB75" s="771"/>
      <c r="AC75" s="770"/>
      <c r="AD75" s="771"/>
      <c r="AE75" s="770"/>
      <c r="AF75" s="771"/>
      <c r="AG75" s="770"/>
      <c r="AH75" s="771"/>
      <c r="AI75" s="770"/>
      <c r="AJ75" s="773"/>
      <c r="AK75" s="773"/>
      <c r="AL75" s="773"/>
      <c r="AM75" s="773"/>
      <c r="AN75" s="177"/>
    </row>
    <row r="76" spans="1:40">
      <c r="A76" s="763">
        <v>61</v>
      </c>
      <c r="B76" s="764">
        <v>5</v>
      </c>
      <c r="C76" s="776" t="s">
        <v>1398</v>
      </c>
      <c r="D76" s="777" t="s">
        <v>1399</v>
      </c>
      <c r="E76" s="778" t="s">
        <v>1210</v>
      </c>
      <c r="F76" s="777" t="s">
        <v>248</v>
      </c>
      <c r="G76" s="778">
        <v>33713</v>
      </c>
      <c r="H76" s="777" t="s">
        <v>1399</v>
      </c>
      <c r="I76" s="778" t="s">
        <v>1210</v>
      </c>
      <c r="J76" s="777" t="s">
        <v>248</v>
      </c>
      <c r="K76" s="778" t="s">
        <v>1173</v>
      </c>
      <c r="L76" s="777">
        <v>33713</v>
      </c>
      <c r="M76" s="778" t="s">
        <v>1400</v>
      </c>
      <c r="N76" s="779" t="s">
        <v>1401</v>
      </c>
      <c r="O76" s="778" t="s">
        <v>1402</v>
      </c>
      <c r="P76" s="777" t="s">
        <v>1402</v>
      </c>
      <c r="Q76" s="834" t="s">
        <v>140</v>
      </c>
      <c r="R76" s="782" t="s">
        <v>140</v>
      </c>
      <c r="S76" s="781" t="s">
        <v>140</v>
      </c>
      <c r="T76" s="782" t="s">
        <v>1177</v>
      </c>
      <c r="U76" s="781" t="s">
        <v>1177</v>
      </c>
      <c r="V76" s="782" t="s">
        <v>1177</v>
      </c>
      <c r="W76" s="781" t="s">
        <v>140</v>
      </c>
      <c r="X76" s="782" t="s">
        <v>140</v>
      </c>
      <c r="Y76" s="781" t="s">
        <v>140</v>
      </c>
      <c r="Z76" s="782" t="s">
        <v>140</v>
      </c>
      <c r="AA76" s="781" t="s">
        <v>140</v>
      </c>
      <c r="AB76" s="782" t="s">
        <v>140</v>
      </c>
      <c r="AC76" s="781" t="s">
        <v>140</v>
      </c>
      <c r="AD76" s="782" t="s">
        <v>140</v>
      </c>
      <c r="AE76" s="781" t="s">
        <v>140</v>
      </c>
      <c r="AF76" s="782" t="s">
        <v>140</v>
      </c>
      <c r="AG76" s="781" t="s">
        <v>140</v>
      </c>
      <c r="AH76" s="782" t="s">
        <v>140</v>
      </c>
      <c r="AI76" s="781" t="s">
        <v>140</v>
      </c>
      <c r="AJ76" s="783" t="s">
        <v>140</v>
      </c>
      <c r="AK76" s="783" t="s">
        <v>140</v>
      </c>
      <c r="AL76" s="783" t="s">
        <v>140</v>
      </c>
      <c r="AM76" s="783" t="s">
        <v>140</v>
      </c>
      <c r="AN76" s="177"/>
    </row>
    <row r="77" spans="1:40">
      <c r="A77" s="763">
        <v>62</v>
      </c>
      <c r="B77" s="764">
        <v>5</v>
      </c>
      <c r="C77" s="765" t="s">
        <v>1398</v>
      </c>
      <c r="D77" s="777" t="s">
        <v>1399</v>
      </c>
      <c r="E77" s="778" t="s">
        <v>1210</v>
      </c>
      <c r="F77" s="777" t="s">
        <v>248</v>
      </c>
      <c r="G77" s="778">
        <v>33713</v>
      </c>
      <c r="H77" s="777" t="s">
        <v>1399</v>
      </c>
      <c r="I77" s="778" t="s">
        <v>1210</v>
      </c>
      <c r="J77" s="777" t="s">
        <v>248</v>
      </c>
      <c r="K77" s="767" t="s">
        <v>136</v>
      </c>
      <c r="L77" s="766">
        <v>33713</v>
      </c>
      <c r="M77" s="767" t="s">
        <v>1400</v>
      </c>
      <c r="N77" s="768" t="s">
        <v>1401</v>
      </c>
      <c r="O77" s="767" t="s">
        <v>1402</v>
      </c>
      <c r="P77" s="766" t="s">
        <v>1402</v>
      </c>
      <c r="Q77" s="833" t="s">
        <v>140</v>
      </c>
      <c r="R77" s="771" t="s">
        <v>140</v>
      </c>
      <c r="S77" s="770" t="s">
        <v>140</v>
      </c>
      <c r="T77" s="771" t="s">
        <v>1177</v>
      </c>
      <c r="U77" s="770" t="s">
        <v>1177</v>
      </c>
      <c r="V77" s="771" t="s">
        <v>1177</v>
      </c>
      <c r="W77" s="770" t="s">
        <v>140</v>
      </c>
      <c r="X77" s="771" t="s">
        <v>140</v>
      </c>
      <c r="Y77" s="770" t="s">
        <v>140</v>
      </c>
      <c r="Z77" s="771" t="s">
        <v>140</v>
      </c>
      <c r="AA77" s="770" t="s">
        <v>140</v>
      </c>
      <c r="AB77" s="771" t="s">
        <v>140</v>
      </c>
      <c r="AC77" s="770" t="s">
        <v>140</v>
      </c>
      <c r="AD77" s="771" t="s">
        <v>140</v>
      </c>
      <c r="AE77" s="770" t="s">
        <v>140</v>
      </c>
      <c r="AF77" s="771" t="s">
        <v>140</v>
      </c>
      <c r="AG77" s="770" t="s">
        <v>140</v>
      </c>
      <c r="AH77" s="771" t="s">
        <v>140</v>
      </c>
      <c r="AI77" s="770" t="s">
        <v>140</v>
      </c>
      <c r="AJ77" s="773" t="s">
        <v>140</v>
      </c>
      <c r="AK77" s="773" t="s">
        <v>140</v>
      </c>
      <c r="AL77" s="773" t="s">
        <v>140</v>
      </c>
      <c r="AM77" s="773" t="s">
        <v>140</v>
      </c>
      <c r="AN77" s="177"/>
    </row>
    <row r="78" spans="1:40">
      <c r="A78" s="763">
        <v>63</v>
      </c>
      <c r="B78" s="764">
        <v>5</v>
      </c>
      <c r="C78" s="776" t="s">
        <v>1403</v>
      </c>
      <c r="D78" s="777" t="s">
        <v>1404</v>
      </c>
      <c r="E78" s="778" t="s">
        <v>1204</v>
      </c>
      <c r="F78" s="777" t="s">
        <v>136</v>
      </c>
      <c r="G78" s="778">
        <v>33523</v>
      </c>
      <c r="H78" s="777" t="s">
        <v>1405</v>
      </c>
      <c r="I78" s="778" t="s">
        <v>1204</v>
      </c>
      <c r="J78" s="777" t="s">
        <v>136</v>
      </c>
      <c r="K78" s="778" t="s">
        <v>136</v>
      </c>
      <c r="L78" s="777">
        <v>33523</v>
      </c>
      <c r="M78" s="778" t="s">
        <v>1406</v>
      </c>
      <c r="N78" s="779" t="s">
        <v>1407</v>
      </c>
      <c r="O78" s="778" t="s">
        <v>1408</v>
      </c>
      <c r="P78" s="777" t="s">
        <v>1409</v>
      </c>
      <c r="Q78" s="834" t="s">
        <v>140</v>
      </c>
      <c r="R78" s="782" t="s">
        <v>1177</v>
      </c>
      <c r="S78" s="781" t="s">
        <v>140</v>
      </c>
      <c r="T78" s="782" t="s">
        <v>140</v>
      </c>
      <c r="U78" s="781" t="s">
        <v>140</v>
      </c>
      <c r="V78" s="782" t="s">
        <v>1177</v>
      </c>
      <c r="W78" s="781" t="s">
        <v>140</v>
      </c>
      <c r="X78" s="782" t="s">
        <v>140</v>
      </c>
      <c r="Y78" s="781" t="s">
        <v>1177</v>
      </c>
      <c r="Z78" s="782" t="s">
        <v>140</v>
      </c>
      <c r="AA78" s="781" t="s">
        <v>1177</v>
      </c>
      <c r="AB78" s="782" t="s">
        <v>140</v>
      </c>
      <c r="AC78" s="781" t="s">
        <v>140</v>
      </c>
      <c r="AD78" s="782" t="s">
        <v>140</v>
      </c>
      <c r="AE78" s="781" t="s">
        <v>140</v>
      </c>
      <c r="AF78" s="782" t="s">
        <v>140</v>
      </c>
      <c r="AG78" s="781" t="s">
        <v>140</v>
      </c>
      <c r="AH78" s="782" t="s">
        <v>140</v>
      </c>
      <c r="AI78" s="781" t="s">
        <v>140</v>
      </c>
      <c r="AJ78" s="783" t="s">
        <v>140</v>
      </c>
      <c r="AK78" s="783" t="s">
        <v>140</v>
      </c>
      <c r="AL78" s="783" t="s">
        <v>140</v>
      </c>
      <c r="AM78" s="783" t="s">
        <v>140</v>
      </c>
      <c r="AN78" s="177"/>
    </row>
    <row r="79" spans="1:40">
      <c r="A79" s="763">
        <v>64</v>
      </c>
      <c r="B79" s="764">
        <v>5</v>
      </c>
      <c r="C79" s="765" t="s">
        <v>1410</v>
      </c>
      <c r="D79" s="766" t="s">
        <v>1411</v>
      </c>
      <c r="E79" s="767" t="s">
        <v>1192</v>
      </c>
      <c r="F79" s="766" t="s">
        <v>136</v>
      </c>
      <c r="G79" s="767">
        <v>34668</v>
      </c>
      <c r="H79" s="766" t="s">
        <v>1411</v>
      </c>
      <c r="I79" s="767" t="s">
        <v>1192</v>
      </c>
      <c r="J79" s="766" t="s">
        <v>136</v>
      </c>
      <c r="K79" s="767" t="s">
        <v>136</v>
      </c>
      <c r="L79" s="766">
        <v>34668</v>
      </c>
      <c r="M79" s="767" t="s">
        <v>1412</v>
      </c>
      <c r="N79" s="768" t="s">
        <v>1413</v>
      </c>
      <c r="O79" s="778" t="s">
        <v>1408</v>
      </c>
      <c r="P79" s="766" t="s">
        <v>1414</v>
      </c>
      <c r="Q79" s="833" t="s">
        <v>1177</v>
      </c>
      <c r="R79" s="771" t="s">
        <v>1177</v>
      </c>
      <c r="S79" s="770" t="s">
        <v>140</v>
      </c>
      <c r="T79" s="771" t="s">
        <v>140</v>
      </c>
      <c r="U79" s="770" t="s">
        <v>1177</v>
      </c>
      <c r="V79" s="771" t="s">
        <v>1177</v>
      </c>
      <c r="W79" s="770" t="s">
        <v>1177</v>
      </c>
      <c r="X79" s="771" t="s">
        <v>1177</v>
      </c>
      <c r="Y79" s="770" t="s">
        <v>140</v>
      </c>
      <c r="Z79" s="771" t="s">
        <v>1177</v>
      </c>
      <c r="AA79" s="770" t="s">
        <v>140</v>
      </c>
      <c r="AB79" s="771" t="s">
        <v>140</v>
      </c>
      <c r="AC79" s="770" t="s">
        <v>140</v>
      </c>
      <c r="AD79" s="771" t="s">
        <v>140</v>
      </c>
      <c r="AE79" s="770" t="s">
        <v>140</v>
      </c>
      <c r="AF79" s="771" t="s">
        <v>140</v>
      </c>
      <c r="AG79" s="770" t="s">
        <v>140</v>
      </c>
      <c r="AH79" s="771" t="s">
        <v>140</v>
      </c>
      <c r="AI79" s="770" t="s">
        <v>140</v>
      </c>
      <c r="AJ79" s="773" t="s">
        <v>140</v>
      </c>
      <c r="AK79" s="773" t="s">
        <v>140</v>
      </c>
      <c r="AL79" s="773" t="s">
        <v>140</v>
      </c>
      <c r="AM79" s="773" t="s">
        <v>140</v>
      </c>
      <c r="AN79" s="177"/>
    </row>
    <row r="80" spans="1:40">
      <c r="A80" s="763">
        <v>65</v>
      </c>
      <c r="B80" s="764">
        <v>5</v>
      </c>
      <c r="C80" s="765" t="s">
        <v>1415</v>
      </c>
      <c r="D80" s="766" t="s">
        <v>1416</v>
      </c>
      <c r="E80" s="767" t="s">
        <v>1417</v>
      </c>
      <c r="F80" s="766" t="s">
        <v>136</v>
      </c>
      <c r="G80" s="767">
        <v>33542</v>
      </c>
      <c r="H80" s="766" t="s">
        <v>1416</v>
      </c>
      <c r="I80" s="767" t="s">
        <v>1417</v>
      </c>
      <c r="J80" s="766" t="s">
        <v>136</v>
      </c>
      <c r="K80" s="767" t="s">
        <v>136</v>
      </c>
      <c r="L80" s="766">
        <v>33542</v>
      </c>
      <c r="M80" s="767" t="s">
        <v>1418</v>
      </c>
      <c r="N80" s="768" t="s">
        <v>1419</v>
      </c>
      <c r="O80" s="767" t="s">
        <v>1420</v>
      </c>
      <c r="P80" s="766" t="s">
        <v>1421</v>
      </c>
      <c r="Q80" s="833" t="s">
        <v>140</v>
      </c>
      <c r="R80" s="771"/>
      <c r="S80" s="770" t="s">
        <v>140</v>
      </c>
      <c r="T80" s="771" t="s">
        <v>1177</v>
      </c>
      <c r="U80" s="770" t="s">
        <v>1177</v>
      </c>
      <c r="V80" s="771" t="s">
        <v>1177</v>
      </c>
      <c r="W80" s="770" t="s">
        <v>140</v>
      </c>
      <c r="X80" s="771" t="s">
        <v>140</v>
      </c>
      <c r="Y80" s="770" t="s">
        <v>1177</v>
      </c>
      <c r="Z80" s="771" t="s">
        <v>140</v>
      </c>
      <c r="AA80" s="770" t="s">
        <v>1177</v>
      </c>
      <c r="AB80" s="771" t="s">
        <v>140</v>
      </c>
      <c r="AC80" s="770" t="s">
        <v>140</v>
      </c>
      <c r="AD80" s="771" t="s">
        <v>140</v>
      </c>
      <c r="AE80" s="770" t="s">
        <v>140</v>
      </c>
      <c r="AF80" s="771" t="s">
        <v>140</v>
      </c>
      <c r="AG80" s="770" t="s">
        <v>140</v>
      </c>
      <c r="AH80" s="771" t="s">
        <v>140</v>
      </c>
      <c r="AI80" s="770" t="s">
        <v>140</v>
      </c>
      <c r="AJ80" s="773" t="s">
        <v>140</v>
      </c>
      <c r="AK80" s="773" t="s">
        <v>140</v>
      </c>
      <c r="AL80" s="773" t="s">
        <v>140</v>
      </c>
      <c r="AM80" s="773" t="s">
        <v>140</v>
      </c>
      <c r="AN80" s="177"/>
    </row>
    <row r="81" spans="1:40">
      <c r="A81" s="763">
        <v>66</v>
      </c>
      <c r="B81" s="764">
        <v>5</v>
      </c>
      <c r="C81" s="776" t="s">
        <v>1422</v>
      </c>
      <c r="D81" s="777" t="s">
        <v>1423</v>
      </c>
      <c r="E81" s="778" t="s">
        <v>1244</v>
      </c>
      <c r="F81" s="777" t="s">
        <v>1245</v>
      </c>
      <c r="G81" s="778">
        <v>30374</v>
      </c>
      <c r="H81" s="777" t="s">
        <v>1424</v>
      </c>
      <c r="I81" s="778" t="s">
        <v>1425</v>
      </c>
      <c r="J81" s="777" t="s">
        <v>1426</v>
      </c>
      <c r="K81" s="778" t="s">
        <v>1173</v>
      </c>
      <c r="L81" s="777">
        <v>33175</v>
      </c>
      <c r="M81" s="778" t="s">
        <v>1427</v>
      </c>
      <c r="N81" s="779" t="s">
        <v>1428</v>
      </c>
      <c r="O81" s="778" t="s">
        <v>1429</v>
      </c>
      <c r="P81" s="777" t="s">
        <v>1430</v>
      </c>
      <c r="Q81" s="834" t="s">
        <v>140</v>
      </c>
      <c r="R81" s="782" t="s">
        <v>140</v>
      </c>
      <c r="S81" s="781" t="s">
        <v>140</v>
      </c>
      <c r="T81" s="782" t="s">
        <v>1177</v>
      </c>
      <c r="U81" s="781"/>
      <c r="V81" s="782" t="s">
        <v>1177</v>
      </c>
      <c r="W81" s="781" t="s">
        <v>140</v>
      </c>
      <c r="X81" s="782" t="s">
        <v>140</v>
      </c>
      <c r="Y81" s="781" t="s">
        <v>140</v>
      </c>
      <c r="Z81" s="782" t="s">
        <v>140</v>
      </c>
      <c r="AA81" s="781" t="s">
        <v>140</v>
      </c>
      <c r="AB81" s="782" t="s">
        <v>140</v>
      </c>
      <c r="AC81" s="781" t="s">
        <v>140</v>
      </c>
      <c r="AD81" s="782" t="s">
        <v>140</v>
      </c>
      <c r="AE81" s="781" t="s">
        <v>140</v>
      </c>
      <c r="AF81" s="782" t="s">
        <v>140</v>
      </c>
      <c r="AG81" s="781" t="s">
        <v>140</v>
      </c>
      <c r="AH81" s="782" t="s">
        <v>140</v>
      </c>
      <c r="AI81" s="781" t="s">
        <v>140</v>
      </c>
      <c r="AJ81" s="783" t="s">
        <v>140</v>
      </c>
      <c r="AK81" s="783" t="s">
        <v>140</v>
      </c>
      <c r="AL81" s="783" t="s">
        <v>140</v>
      </c>
      <c r="AM81" s="783" t="s">
        <v>140</v>
      </c>
      <c r="AN81" s="177"/>
    </row>
    <row r="82" spans="1:40">
      <c r="A82" s="763">
        <v>67</v>
      </c>
      <c r="B82" s="764">
        <v>5</v>
      </c>
      <c r="C82" s="765" t="s">
        <v>1422</v>
      </c>
      <c r="D82" s="777" t="s">
        <v>1423</v>
      </c>
      <c r="E82" s="778" t="s">
        <v>1244</v>
      </c>
      <c r="F82" s="777" t="s">
        <v>1245</v>
      </c>
      <c r="G82" s="778">
        <v>30374</v>
      </c>
      <c r="H82" s="777" t="s">
        <v>1424</v>
      </c>
      <c r="I82" s="778" t="s">
        <v>1425</v>
      </c>
      <c r="J82" s="777" t="s">
        <v>1426</v>
      </c>
      <c r="K82" s="778" t="s">
        <v>136</v>
      </c>
      <c r="L82" s="777">
        <v>33175</v>
      </c>
      <c r="M82" s="778" t="s">
        <v>1427</v>
      </c>
      <c r="N82" s="779" t="s">
        <v>1428</v>
      </c>
      <c r="O82" s="778" t="s">
        <v>1429</v>
      </c>
      <c r="P82" s="777" t="s">
        <v>1430</v>
      </c>
      <c r="Q82" s="833" t="s">
        <v>140</v>
      </c>
      <c r="R82" s="771" t="s">
        <v>140</v>
      </c>
      <c r="S82" s="770" t="s">
        <v>140</v>
      </c>
      <c r="T82" s="771" t="s">
        <v>1177</v>
      </c>
      <c r="U82" s="770" t="s">
        <v>140</v>
      </c>
      <c r="V82" s="771" t="s">
        <v>1177</v>
      </c>
      <c r="W82" s="770" t="s">
        <v>140</v>
      </c>
      <c r="X82" s="771" t="s">
        <v>140</v>
      </c>
      <c r="Y82" s="770" t="s">
        <v>140</v>
      </c>
      <c r="Z82" s="771" t="s">
        <v>140</v>
      </c>
      <c r="AA82" s="770" t="s">
        <v>140</v>
      </c>
      <c r="AB82" s="771" t="s">
        <v>140</v>
      </c>
      <c r="AC82" s="770" t="s">
        <v>140</v>
      </c>
      <c r="AD82" s="771" t="s">
        <v>140</v>
      </c>
      <c r="AE82" s="770" t="s">
        <v>140</v>
      </c>
      <c r="AF82" s="771" t="s">
        <v>140</v>
      </c>
      <c r="AG82" s="770" t="s">
        <v>140</v>
      </c>
      <c r="AH82" s="771" t="s">
        <v>140</v>
      </c>
      <c r="AI82" s="770" t="s">
        <v>140</v>
      </c>
      <c r="AJ82" s="773" t="s">
        <v>140</v>
      </c>
      <c r="AK82" s="773" t="s">
        <v>140</v>
      </c>
      <c r="AL82" s="773" t="s">
        <v>140</v>
      </c>
      <c r="AM82" s="773" t="s">
        <v>140</v>
      </c>
      <c r="AN82" s="177"/>
    </row>
    <row r="83" spans="1:40">
      <c r="A83" s="763">
        <v>68</v>
      </c>
      <c r="B83" s="764">
        <v>5</v>
      </c>
      <c r="C83" s="776" t="s">
        <v>1431</v>
      </c>
      <c r="D83" s="777" t="s">
        <v>1432</v>
      </c>
      <c r="E83" s="778" t="s">
        <v>1296</v>
      </c>
      <c r="F83" s="777" t="s">
        <v>136</v>
      </c>
      <c r="G83" s="778">
        <v>34654</v>
      </c>
      <c r="H83" s="777" t="s">
        <v>1432</v>
      </c>
      <c r="I83" s="778" t="s">
        <v>1296</v>
      </c>
      <c r="J83" s="777" t="s">
        <v>136</v>
      </c>
      <c r="K83" s="778" t="s">
        <v>136</v>
      </c>
      <c r="L83" s="777">
        <v>34654</v>
      </c>
      <c r="M83" s="778" t="s">
        <v>1433</v>
      </c>
      <c r="N83" s="779"/>
      <c r="O83" s="778" t="s">
        <v>1434</v>
      </c>
      <c r="P83" s="777" t="s">
        <v>1434</v>
      </c>
      <c r="Q83" s="834" t="s">
        <v>140</v>
      </c>
      <c r="R83" s="782" t="s">
        <v>140</v>
      </c>
      <c r="S83" s="781" t="s">
        <v>140</v>
      </c>
      <c r="T83" s="782" t="s">
        <v>1177</v>
      </c>
      <c r="U83" s="781" t="s">
        <v>1177</v>
      </c>
      <c r="V83" s="782" t="s">
        <v>1177</v>
      </c>
      <c r="W83" s="781" t="s">
        <v>140</v>
      </c>
      <c r="X83" s="782" t="s">
        <v>140</v>
      </c>
      <c r="Y83" s="781" t="s">
        <v>140</v>
      </c>
      <c r="Z83" s="782" t="s">
        <v>140</v>
      </c>
      <c r="AA83" s="781" t="s">
        <v>140</v>
      </c>
      <c r="AB83" s="782" t="s">
        <v>140</v>
      </c>
      <c r="AC83" s="781" t="s">
        <v>140</v>
      </c>
      <c r="AD83" s="782" t="s">
        <v>140</v>
      </c>
      <c r="AE83" s="781" t="s">
        <v>140</v>
      </c>
      <c r="AF83" s="782" t="s">
        <v>140</v>
      </c>
      <c r="AG83" s="781" t="s">
        <v>140</v>
      </c>
      <c r="AH83" s="782" t="s">
        <v>140</v>
      </c>
      <c r="AI83" s="781" t="s">
        <v>140</v>
      </c>
      <c r="AJ83" s="783" t="s">
        <v>140</v>
      </c>
      <c r="AK83" s="783" t="s">
        <v>140</v>
      </c>
      <c r="AL83" s="783" t="s">
        <v>140</v>
      </c>
      <c r="AM83" s="783" t="s">
        <v>140</v>
      </c>
      <c r="AN83" s="177"/>
    </row>
    <row r="84" spans="1:40">
      <c r="A84" s="763">
        <v>69</v>
      </c>
      <c r="B84" s="764">
        <v>5</v>
      </c>
      <c r="C84" s="765" t="s">
        <v>1431</v>
      </c>
      <c r="D84" s="766" t="s">
        <v>1432</v>
      </c>
      <c r="E84" s="767" t="s">
        <v>1296</v>
      </c>
      <c r="F84" s="766" t="s">
        <v>136</v>
      </c>
      <c r="G84" s="767">
        <v>34654</v>
      </c>
      <c r="H84" s="766" t="s">
        <v>1432</v>
      </c>
      <c r="I84" s="767" t="s">
        <v>1296</v>
      </c>
      <c r="J84" s="766" t="s">
        <v>136</v>
      </c>
      <c r="K84" s="767" t="s">
        <v>1173</v>
      </c>
      <c r="L84" s="766">
        <v>34654</v>
      </c>
      <c r="M84" s="767" t="s">
        <v>1433</v>
      </c>
      <c r="N84" s="768"/>
      <c r="O84" s="767" t="s">
        <v>1434</v>
      </c>
      <c r="P84" s="766" t="s">
        <v>1434</v>
      </c>
      <c r="Q84" s="833" t="s">
        <v>140</v>
      </c>
      <c r="R84" s="771" t="s">
        <v>140</v>
      </c>
      <c r="S84" s="770" t="s">
        <v>140</v>
      </c>
      <c r="T84" s="771" t="s">
        <v>1177</v>
      </c>
      <c r="U84" s="770" t="s">
        <v>1177</v>
      </c>
      <c r="V84" s="771" t="s">
        <v>1177</v>
      </c>
      <c r="W84" s="770" t="s">
        <v>140</v>
      </c>
      <c r="X84" s="771" t="s">
        <v>140</v>
      </c>
      <c r="Y84" s="770" t="s">
        <v>140</v>
      </c>
      <c r="Z84" s="771" t="s">
        <v>140</v>
      </c>
      <c r="AA84" s="770" t="s">
        <v>140</v>
      </c>
      <c r="AB84" s="771" t="s">
        <v>140</v>
      </c>
      <c r="AC84" s="770" t="s">
        <v>140</v>
      </c>
      <c r="AD84" s="771" t="s">
        <v>140</v>
      </c>
      <c r="AE84" s="770" t="s">
        <v>140</v>
      </c>
      <c r="AF84" s="771" t="s">
        <v>140</v>
      </c>
      <c r="AG84" s="770" t="s">
        <v>140</v>
      </c>
      <c r="AH84" s="771" t="s">
        <v>140</v>
      </c>
      <c r="AI84" s="770" t="s">
        <v>140</v>
      </c>
      <c r="AJ84" s="773" t="s">
        <v>140</v>
      </c>
      <c r="AK84" s="773" t="s">
        <v>140</v>
      </c>
      <c r="AL84" s="773" t="s">
        <v>140</v>
      </c>
      <c r="AM84" s="773" t="s">
        <v>140</v>
      </c>
      <c r="AN84" s="177"/>
    </row>
    <row r="85" spans="1:40">
      <c r="A85" s="763">
        <v>70</v>
      </c>
      <c r="B85" s="764">
        <v>5</v>
      </c>
      <c r="C85" s="765" t="s">
        <v>1435</v>
      </c>
      <c r="D85" s="766" t="s">
        <v>1436</v>
      </c>
      <c r="E85" s="767" t="s">
        <v>1437</v>
      </c>
      <c r="F85" s="766" t="s">
        <v>1438</v>
      </c>
      <c r="G85" s="767">
        <v>33401</v>
      </c>
      <c r="H85" s="766" t="s">
        <v>1436</v>
      </c>
      <c r="I85" s="767" t="s">
        <v>1437</v>
      </c>
      <c r="J85" s="766" t="s">
        <v>1438</v>
      </c>
      <c r="K85" s="767" t="s">
        <v>1173</v>
      </c>
      <c r="L85" s="766">
        <v>33401</v>
      </c>
      <c r="M85" s="767" t="s">
        <v>1439</v>
      </c>
      <c r="N85" s="768" t="s">
        <v>1440</v>
      </c>
      <c r="O85" s="767" t="s">
        <v>1441</v>
      </c>
      <c r="P85" s="766" t="s">
        <v>1442</v>
      </c>
      <c r="Q85" s="833" t="s">
        <v>140</v>
      </c>
      <c r="R85" s="771" t="s">
        <v>140</v>
      </c>
      <c r="S85" s="770" t="s">
        <v>140</v>
      </c>
      <c r="T85" s="771" t="s">
        <v>1177</v>
      </c>
      <c r="U85" s="770" t="s">
        <v>1177</v>
      </c>
      <c r="V85" s="771" t="s">
        <v>1177</v>
      </c>
      <c r="W85" s="770"/>
      <c r="X85" s="771" t="s">
        <v>1177</v>
      </c>
      <c r="Y85" s="770" t="s">
        <v>140</v>
      </c>
      <c r="Z85" s="771" t="s">
        <v>140</v>
      </c>
      <c r="AA85" s="770" t="s">
        <v>140</v>
      </c>
      <c r="AB85" s="771" t="s">
        <v>140</v>
      </c>
      <c r="AC85" s="770" t="s">
        <v>140</v>
      </c>
      <c r="AD85" s="771" t="s">
        <v>140</v>
      </c>
      <c r="AE85" s="770" t="s">
        <v>140</v>
      </c>
      <c r="AF85" s="771" t="s">
        <v>140</v>
      </c>
      <c r="AG85" s="770" t="s">
        <v>140</v>
      </c>
      <c r="AH85" s="771" t="s">
        <v>140</v>
      </c>
      <c r="AI85" s="770" t="s">
        <v>140</v>
      </c>
      <c r="AJ85" s="773" t="s">
        <v>140</v>
      </c>
      <c r="AK85" s="773" t="s">
        <v>140</v>
      </c>
      <c r="AL85" s="773" t="s">
        <v>140</v>
      </c>
      <c r="AM85" s="773" t="s">
        <v>140</v>
      </c>
      <c r="AN85" s="177"/>
    </row>
    <row r="86" spans="1:40">
      <c r="A86" s="763">
        <v>71</v>
      </c>
      <c r="B86" s="764">
        <v>5</v>
      </c>
      <c r="C86" s="765" t="s">
        <v>1435</v>
      </c>
      <c r="D86" s="766" t="s">
        <v>1436</v>
      </c>
      <c r="E86" s="767" t="s">
        <v>1437</v>
      </c>
      <c r="F86" s="766" t="s">
        <v>1438</v>
      </c>
      <c r="G86" s="767">
        <v>33401</v>
      </c>
      <c r="H86" s="766" t="s">
        <v>1436</v>
      </c>
      <c r="I86" s="767" t="s">
        <v>1437</v>
      </c>
      <c r="J86" s="766" t="s">
        <v>1438</v>
      </c>
      <c r="K86" s="767" t="s">
        <v>1220</v>
      </c>
      <c r="L86" s="766">
        <v>33401</v>
      </c>
      <c r="M86" s="767" t="s">
        <v>1439</v>
      </c>
      <c r="N86" s="768" t="s">
        <v>1440</v>
      </c>
      <c r="O86" s="767" t="s">
        <v>1441</v>
      </c>
      <c r="P86" s="766" t="s">
        <v>1442</v>
      </c>
      <c r="Q86" s="833" t="s">
        <v>140</v>
      </c>
      <c r="R86" s="771" t="s">
        <v>140</v>
      </c>
      <c r="S86" s="770" t="s">
        <v>140</v>
      </c>
      <c r="T86" s="771" t="s">
        <v>1177</v>
      </c>
      <c r="U86" s="770" t="s">
        <v>1177</v>
      </c>
      <c r="V86" s="771" t="s">
        <v>1177</v>
      </c>
      <c r="W86" s="770" t="s">
        <v>140</v>
      </c>
      <c r="X86" s="771" t="s">
        <v>1177</v>
      </c>
      <c r="Y86" s="770" t="s">
        <v>140</v>
      </c>
      <c r="Z86" s="771" t="s">
        <v>140</v>
      </c>
      <c r="AA86" s="770" t="s">
        <v>140</v>
      </c>
      <c r="AB86" s="771" t="s">
        <v>140</v>
      </c>
      <c r="AC86" s="770" t="s">
        <v>140</v>
      </c>
      <c r="AD86" s="771" t="s">
        <v>140</v>
      </c>
      <c r="AE86" s="770" t="s">
        <v>140</v>
      </c>
      <c r="AF86" s="771" t="s">
        <v>140</v>
      </c>
      <c r="AG86" s="770" t="s">
        <v>140</v>
      </c>
      <c r="AH86" s="771" t="s">
        <v>140</v>
      </c>
      <c r="AI86" s="770" t="s">
        <v>140</v>
      </c>
      <c r="AJ86" s="773" t="s">
        <v>140</v>
      </c>
      <c r="AK86" s="773" t="s">
        <v>140</v>
      </c>
      <c r="AL86" s="773" t="s">
        <v>140</v>
      </c>
      <c r="AM86" s="773" t="s">
        <v>140</v>
      </c>
      <c r="AN86" s="177"/>
    </row>
    <row r="87" spans="1:40">
      <c r="A87" s="763">
        <v>72</v>
      </c>
      <c r="B87" s="764">
        <v>5</v>
      </c>
      <c r="C87" s="810" t="s">
        <v>1443</v>
      </c>
      <c r="D87" s="811" t="s">
        <v>1444</v>
      </c>
      <c r="E87" s="811" t="s">
        <v>1210</v>
      </c>
      <c r="F87" s="811" t="s">
        <v>248</v>
      </c>
      <c r="G87" s="811">
        <v>33711</v>
      </c>
      <c r="H87" s="811" t="s">
        <v>1444</v>
      </c>
      <c r="I87" s="811" t="s">
        <v>1210</v>
      </c>
      <c r="J87" s="811" t="s">
        <v>1173</v>
      </c>
      <c r="K87" s="811" t="s">
        <v>1173</v>
      </c>
      <c r="L87" s="811">
        <v>33711</v>
      </c>
      <c r="M87" s="778" t="s">
        <v>1445</v>
      </c>
      <c r="N87" s="779" t="s">
        <v>1446</v>
      </c>
      <c r="O87" s="778" t="s">
        <v>1447</v>
      </c>
      <c r="P87" s="777" t="s">
        <v>1448</v>
      </c>
      <c r="Q87" s="783" t="s">
        <v>140</v>
      </c>
      <c r="R87" s="783" t="s">
        <v>140</v>
      </c>
      <c r="S87" s="783" t="s">
        <v>1177</v>
      </c>
      <c r="T87" s="783"/>
      <c r="U87" s="783" t="s">
        <v>140</v>
      </c>
      <c r="V87" s="783" t="s">
        <v>140</v>
      </c>
      <c r="W87" s="783" t="s">
        <v>1177</v>
      </c>
      <c r="X87" s="783" t="s">
        <v>140</v>
      </c>
      <c r="Y87" s="783" t="s">
        <v>140</v>
      </c>
      <c r="Z87" s="783" t="s">
        <v>140</v>
      </c>
      <c r="AA87" s="783" t="s">
        <v>140</v>
      </c>
      <c r="AB87" s="783" t="s">
        <v>140</v>
      </c>
      <c r="AC87" s="783" t="s">
        <v>140</v>
      </c>
      <c r="AD87" s="812" t="s">
        <v>140</v>
      </c>
      <c r="AE87" s="813" t="s">
        <v>140</v>
      </c>
      <c r="AF87" s="783" t="s">
        <v>140</v>
      </c>
      <c r="AG87" s="783" t="s">
        <v>140</v>
      </c>
      <c r="AH87" s="783" t="s">
        <v>140</v>
      </c>
      <c r="AI87" s="783" t="s">
        <v>140</v>
      </c>
      <c r="AJ87" s="783" t="s">
        <v>140</v>
      </c>
      <c r="AK87" s="783" t="s">
        <v>140</v>
      </c>
      <c r="AL87" s="783" t="s">
        <v>140</v>
      </c>
      <c r="AM87" s="783" t="s">
        <v>140</v>
      </c>
      <c r="AN87" s="177"/>
    </row>
    <row r="88" spans="1:40">
      <c r="A88" s="763">
        <v>73</v>
      </c>
      <c r="B88" s="764">
        <v>5</v>
      </c>
      <c r="C88" s="776" t="s">
        <v>1449</v>
      </c>
      <c r="D88" s="777" t="s">
        <v>1450</v>
      </c>
      <c r="E88" s="778" t="s">
        <v>1451</v>
      </c>
      <c r="F88" s="777" t="s">
        <v>1452</v>
      </c>
      <c r="G88" s="778">
        <v>50021</v>
      </c>
      <c r="H88" s="777" t="s">
        <v>1450</v>
      </c>
      <c r="I88" s="778" t="s">
        <v>1451</v>
      </c>
      <c r="J88" s="777" t="s">
        <v>1452</v>
      </c>
      <c r="K88" s="778" t="s">
        <v>1173</v>
      </c>
      <c r="L88" s="777">
        <v>50021</v>
      </c>
      <c r="M88" s="778" t="s">
        <v>1453</v>
      </c>
      <c r="N88" s="779" t="s">
        <v>1453</v>
      </c>
      <c r="O88" s="778" t="s">
        <v>1454</v>
      </c>
      <c r="P88" s="777" t="s">
        <v>1454</v>
      </c>
      <c r="Q88" s="834" t="s">
        <v>140</v>
      </c>
      <c r="R88" s="782" t="s">
        <v>140</v>
      </c>
      <c r="S88" s="781" t="s">
        <v>140</v>
      </c>
      <c r="T88" s="782" t="s">
        <v>1177</v>
      </c>
      <c r="U88" s="781" t="s">
        <v>1177</v>
      </c>
      <c r="V88" s="782" t="s">
        <v>1177</v>
      </c>
      <c r="W88" s="781" t="s">
        <v>140</v>
      </c>
      <c r="X88" s="782" t="s">
        <v>140</v>
      </c>
      <c r="Y88" s="781" t="s">
        <v>140</v>
      </c>
      <c r="Z88" s="782" t="s">
        <v>140</v>
      </c>
      <c r="AA88" s="781" t="s">
        <v>140</v>
      </c>
      <c r="AB88" s="782" t="s">
        <v>140</v>
      </c>
      <c r="AC88" s="781" t="s">
        <v>140</v>
      </c>
      <c r="AD88" s="782" t="s">
        <v>140</v>
      </c>
      <c r="AE88" s="781" t="s">
        <v>140</v>
      </c>
      <c r="AF88" s="782" t="s">
        <v>140</v>
      </c>
      <c r="AG88" s="781" t="s">
        <v>140</v>
      </c>
      <c r="AH88" s="782" t="s">
        <v>140</v>
      </c>
      <c r="AI88" s="781" t="s">
        <v>140</v>
      </c>
      <c r="AJ88" s="783" t="s">
        <v>140</v>
      </c>
      <c r="AK88" s="783" t="s">
        <v>140</v>
      </c>
      <c r="AL88" s="783" t="s">
        <v>140</v>
      </c>
      <c r="AM88" s="783" t="s">
        <v>140</v>
      </c>
      <c r="AN88" s="177"/>
    </row>
    <row r="89" spans="1:40">
      <c r="A89" s="763">
        <v>74</v>
      </c>
      <c r="B89" s="764">
        <v>5</v>
      </c>
      <c r="C89" s="765" t="s">
        <v>1449</v>
      </c>
      <c r="D89" s="766" t="s">
        <v>1450</v>
      </c>
      <c r="E89" s="767" t="s">
        <v>1451</v>
      </c>
      <c r="F89" s="766" t="s">
        <v>1452</v>
      </c>
      <c r="G89" s="767">
        <v>50021</v>
      </c>
      <c r="H89" s="766" t="s">
        <v>1450</v>
      </c>
      <c r="I89" s="767" t="s">
        <v>1451</v>
      </c>
      <c r="J89" s="766" t="s">
        <v>1452</v>
      </c>
      <c r="K89" s="767" t="s">
        <v>136</v>
      </c>
      <c r="L89" s="766">
        <v>50021</v>
      </c>
      <c r="M89" s="767" t="s">
        <v>1455</v>
      </c>
      <c r="N89" s="768" t="s">
        <v>1455</v>
      </c>
      <c r="O89" s="767" t="s">
        <v>1454</v>
      </c>
      <c r="P89" s="766" t="s">
        <v>1454</v>
      </c>
      <c r="Q89" s="833" t="s">
        <v>140</v>
      </c>
      <c r="R89" s="771" t="s">
        <v>140</v>
      </c>
      <c r="S89" s="770" t="s">
        <v>140</v>
      </c>
      <c r="T89" s="771" t="s">
        <v>1177</v>
      </c>
      <c r="U89" s="770" t="s">
        <v>1177</v>
      </c>
      <c r="V89" s="771" t="s">
        <v>1177</v>
      </c>
      <c r="W89" s="770" t="s">
        <v>140</v>
      </c>
      <c r="X89" s="771" t="s">
        <v>140</v>
      </c>
      <c r="Y89" s="770" t="s">
        <v>140</v>
      </c>
      <c r="Z89" s="771" t="s">
        <v>140</v>
      </c>
      <c r="AA89" s="770" t="s">
        <v>140</v>
      </c>
      <c r="AB89" s="771" t="s">
        <v>140</v>
      </c>
      <c r="AC89" s="770" t="s">
        <v>140</v>
      </c>
      <c r="AD89" s="771" t="s">
        <v>140</v>
      </c>
      <c r="AE89" s="770" t="s">
        <v>140</v>
      </c>
      <c r="AF89" s="771" t="s">
        <v>140</v>
      </c>
      <c r="AG89" s="770" t="s">
        <v>140</v>
      </c>
      <c r="AH89" s="771" t="s">
        <v>140</v>
      </c>
      <c r="AI89" s="770" t="s">
        <v>140</v>
      </c>
      <c r="AJ89" s="773" t="s">
        <v>140</v>
      </c>
      <c r="AK89" s="773" t="s">
        <v>140</v>
      </c>
      <c r="AL89" s="773" t="s">
        <v>140</v>
      </c>
      <c r="AM89" s="773" t="s">
        <v>140</v>
      </c>
      <c r="AN89" s="177"/>
    </row>
    <row r="90" spans="1:40">
      <c r="A90" s="763">
        <v>75</v>
      </c>
      <c r="B90" s="764">
        <v>5</v>
      </c>
      <c r="C90" s="765" t="s">
        <v>1456</v>
      </c>
      <c r="D90" s="766" t="s">
        <v>1457</v>
      </c>
      <c r="E90" s="767" t="s">
        <v>1217</v>
      </c>
      <c r="F90" s="766" t="s">
        <v>248</v>
      </c>
      <c r="G90" s="767">
        <v>33760</v>
      </c>
      <c r="H90" s="766" t="s">
        <v>1457</v>
      </c>
      <c r="I90" s="767" t="s">
        <v>1217</v>
      </c>
      <c r="J90" s="766" t="s">
        <v>248</v>
      </c>
      <c r="K90" s="767" t="s">
        <v>1173</v>
      </c>
      <c r="L90" s="766">
        <v>33760</v>
      </c>
      <c r="M90" s="767" t="s">
        <v>1458</v>
      </c>
      <c r="N90" s="768" t="s">
        <v>1459</v>
      </c>
      <c r="O90" s="767"/>
      <c r="P90" s="766" t="s">
        <v>1460</v>
      </c>
      <c r="Q90" s="833"/>
      <c r="R90" s="771"/>
      <c r="S90" s="770"/>
      <c r="T90" s="771" t="s">
        <v>1177</v>
      </c>
      <c r="U90" s="770" t="s">
        <v>1177</v>
      </c>
      <c r="V90" s="771" t="s">
        <v>1177</v>
      </c>
      <c r="W90" s="770"/>
      <c r="X90" s="771"/>
      <c r="Y90" s="770"/>
      <c r="Z90" s="771"/>
      <c r="AA90" s="770"/>
      <c r="AB90" s="771"/>
      <c r="AC90" s="770"/>
      <c r="AD90" s="771"/>
      <c r="AE90" s="770"/>
      <c r="AF90" s="771"/>
      <c r="AG90" s="770"/>
      <c r="AH90" s="771"/>
      <c r="AI90" s="770"/>
      <c r="AJ90" s="773"/>
      <c r="AK90" s="773"/>
      <c r="AL90" s="773"/>
      <c r="AM90" s="773"/>
      <c r="AN90" s="177"/>
    </row>
    <row r="91" spans="1:40">
      <c r="A91" s="763">
        <v>76</v>
      </c>
      <c r="B91" s="764">
        <v>5</v>
      </c>
      <c r="C91" s="765" t="s">
        <v>1456</v>
      </c>
      <c r="D91" s="766" t="s">
        <v>1457</v>
      </c>
      <c r="E91" s="767" t="s">
        <v>1217</v>
      </c>
      <c r="F91" s="766" t="s">
        <v>248</v>
      </c>
      <c r="G91" s="767">
        <v>33760</v>
      </c>
      <c r="H91" s="766" t="s">
        <v>1457</v>
      </c>
      <c r="I91" s="767" t="s">
        <v>1217</v>
      </c>
      <c r="J91" s="766" t="s">
        <v>248</v>
      </c>
      <c r="K91" s="767" t="s">
        <v>1220</v>
      </c>
      <c r="L91" s="766">
        <v>33760</v>
      </c>
      <c r="M91" s="767" t="s">
        <v>1458</v>
      </c>
      <c r="N91" s="768" t="s">
        <v>1459</v>
      </c>
      <c r="O91" s="767"/>
      <c r="P91" s="766" t="s">
        <v>1460</v>
      </c>
      <c r="Q91" s="833"/>
      <c r="R91" s="771"/>
      <c r="S91" s="770"/>
      <c r="T91" s="771" t="s">
        <v>1177</v>
      </c>
      <c r="U91" s="770" t="s">
        <v>1177</v>
      </c>
      <c r="V91" s="771" t="s">
        <v>1177</v>
      </c>
      <c r="W91" s="770"/>
      <c r="X91" s="771"/>
      <c r="Y91" s="770"/>
      <c r="Z91" s="771"/>
      <c r="AA91" s="770"/>
      <c r="AB91" s="771"/>
      <c r="AC91" s="770"/>
      <c r="AD91" s="771"/>
      <c r="AE91" s="770"/>
      <c r="AF91" s="771"/>
      <c r="AG91" s="770"/>
      <c r="AH91" s="771"/>
      <c r="AI91" s="770"/>
      <c r="AJ91" s="773"/>
      <c r="AK91" s="773"/>
      <c r="AL91" s="773"/>
      <c r="AM91" s="773"/>
      <c r="AN91" s="177"/>
    </row>
    <row r="92" spans="1:40">
      <c r="A92" s="763">
        <v>77</v>
      </c>
      <c r="B92" s="764">
        <v>5</v>
      </c>
      <c r="C92" s="776" t="s">
        <v>1461</v>
      </c>
      <c r="D92" s="777" t="s">
        <v>1462</v>
      </c>
      <c r="E92" s="778" t="s">
        <v>1223</v>
      </c>
      <c r="F92" s="777" t="s">
        <v>1340</v>
      </c>
      <c r="G92" s="778">
        <v>33647</v>
      </c>
      <c r="H92" s="777" t="s">
        <v>1462</v>
      </c>
      <c r="I92" s="778" t="s">
        <v>1223</v>
      </c>
      <c r="J92" s="777" t="s">
        <v>1340</v>
      </c>
      <c r="K92" s="778" t="s">
        <v>136</v>
      </c>
      <c r="L92" s="777">
        <v>33647</v>
      </c>
      <c r="M92" s="778" t="s">
        <v>1463</v>
      </c>
      <c r="N92" s="779" t="s">
        <v>1464</v>
      </c>
      <c r="O92" s="778" t="s">
        <v>1465</v>
      </c>
      <c r="P92" s="777" t="s">
        <v>1466</v>
      </c>
      <c r="Q92" s="834" t="s">
        <v>140</v>
      </c>
      <c r="R92" s="782" t="s">
        <v>140</v>
      </c>
      <c r="S92" s="781" t="s">
        <v>140</v>
      </c>
      <c r="T92" s="782" t="s">
        <v>1177</v>
      </c>
      <c r="U92" s="781" t="s">
        <v>1177</v>
      </c>
      <c r="V92" s="782" t="s">
        <v>1177</v>
      </c>
      <c r="W92" s="781" t="s">
        <v>140</v>
      </c>
      <c r="X92" s="782" t="s">
        <v>140</v>
      </c>
      <c r="Y92" s="781" t="s">
        <v>140</v>
      </c>
      <c r="Z92" s="782" t="s">
        <v>140</v>
      </c>
      <c r="AA92" s="781" t="s">
        <v>140</v>
      </c>
      <c r="AB92" s="782" t="s">
        <v>140</v>
      </c>
      <c r="AC92" s="781" t="s">
        <v>140</v>
      </c>
      <c r="AD92" s="782" t="s">
        <v>140</v>
      </c>
      <c r="AE92" s="781" t="s">
        <v>140</v>
      </c>
      <c r="AF92" s="782" t="s">
        <v>140</v>
      </c>
      <c r="AG92" s="781" t="s">
        <v>140</v>
      </c>
      <c r="AH92" s="782" t="s">
        <v>140</v>
      </c>
      <c r="AI92" s="781" t="s">
        <v>140</v>
      </c>
      <c r="AJ92" s="783" t="s">
        <v>140</v>
      </c>
      <c r="AK92" s="783" t="s">
        <v>140</v>
      </c>
      <c r="AL92" s="783" t="s">
        <v>140</v>
      </c>
      <c r="AM92" s="783" t="s">
        <v>140</v>
      </c>
      <c r="AN92" s="177"/>
    </row>
    <row r="93" spans="1:40">
      <c r="A93" s="763">
        <v>78</v>
      </c>
      <c r="B93" s="764">
        <v>5</v>
      </c>
      <c r="C93" s="765" t="s">
        <v>1467</v>
      </c>
      <c r="D93" s="766" t="s">
        <v>1233</v>
      </c>
      <c r="E93" s="767" t="s">
        <v>1217</v>
      </c>
      <c r="F93" s="766" t="s">
        <v>248</v>
      </c>
      <c r="G93" s="767">
        <v>33760</v>
      </c>
      <c r="H93" s="766" t="s">
        <v>1233</v>
      </c>
      <c r="I93" s="767" t="s">
        <v>1217</v>
      </c>
      <c r="J93" s="766" t="s">
        <v>1173</v>
      </c>
      <c r="K93" s="767" t="s">
        <v>1173</v>
      </c>
      <c r="L93" s="766">
        <v>33760</v>
      </c>
      <c r="M93" s="767" t="s">
        <v>1234</v>
      </c>
      <c r="N93" s="768" t="s">
        <v>1235</v>
      </c>
      <c r="O93" s="767" t="s">
        <v>1236</v>
      </c>
      <c r="P93" s="766" t="s">
        <v>1236</v>
      </c>
      <c r="Q93" s="833" t="s">
        <v>140</v>
      </c>
      <c r="R93" s="771" t="s">
        <v>140</v>
      </c>
      <c r="S93" s="770" t="s">
        <v>140</v>
      </c>
      <c r="T93" s="771" t="s">
        <v>1177</v>
      </c>
      <c r="U93" s="770" t="s">
        <v>1177</v>
      </c>
      <c r="V93" s="771" t="s">
        <v>1177</v>
      </c>
      <c r="W93" s="770" t="s">
        <v>140</v>
      </c>
      <c r="X93" s="771" t="s">
        <v>140</v>
      </c>
      <c r="Y93" s="770" t="s">
        <v>140</v>
      </c>
      <c r="Z93" s="771" t="s">
        <v>140</v>
      </c>
      <c r="AA93" s="770" t="s">
        <v>140</v>
      </c>
      <c r="AB93" s="771" t="s">
        <v>140</v>
      </c>
      <c r="AC93" s="770" t="s">
        <v>140</v>
      </c>
      <c r="AD93" s="771" t="s">
        <v>140</v>
      </c>
      <c r="AE93" s="770" t="s">
        <v>140</v>
      </c>
      <c r="AF93" s="771" t="s">
        <v>140</v>
      </c>
      <c r="AG93" s="770" t="s">
        <v>140</v>
      </c>
      <c r="AH93" s="771" t="s">
        <v>140</v>
      </c>
      <c r="AI93" s="770" t="s">
        <v>140</v>
      </c>
      <c r="AJ93" s="773" t="s">
        <v>140</v>
      </c>
      <c r="AK93" s="773" t="s">
        <v>140</v>
      </c>
      <c r="AL93" s="773" t="s">
        <v>140</v>
      </c>
      <c r="AM93" s="773" t="s">
        <v>140</v>
      </c>
      <c r="AN93" s="177"/>
    </row>
    <row r="94" spans="1:40">
      <c r="A94" s="763">
        <v>79</v>
      </c>
      <c r="B94" s="764">
        <v>5</v>
      </c>
      <c r="C94" s="776" t="s">
        <v>1468</v>
      </c>
      <c r="D94" s="777" t="s">
        <v>1469</v>
      </c>
      <c r="E94" s="778" t="s">
        <v>1210</v>
      </c>
      <c r="F94" s="777" t="s">
        <v>248</v>
      </c>
      <c r="G94" s="778">
        <v>33709</v>
      </c>
      <c r="H94" s="777" t="s">
        <v>1470</v>
      </c>
      <c r="I94" s="778" t="s">
        <v>1210</v>
      </c>
      <c r="J94" s="777" t="s">
        <v>248</v>
      </c>
      <c r="K94" s="778" t="s">
        <v>1173</v>
      </c>
      <c r="L94" s="777">
        <v>33711</v>
      </c>
      <c r="M94" s="778" t="s">
        <v>1471</v>
      </c>
      <c r="N94" s="779" t="s">
        <v>1472</v>
      </c>
      <c r="O94" s="778" t="s">
        <v>1473</v>
      </c>
      <c r="P94" s="777" t="s">
        <v>1474</v>
      </c>
      <c r="Q94" s="834" t="s">
        <v>140</v>
      </c>
      <c r="R94" s="782" t="s">
        <v>140</v>
      </c>
      <c r="S94" s="781" t="s">
        <v>140</v>
      </c>
      <c r="T94" s="782" t="s">
        <v>1177</v>
      </c>
      <c r="U94" s="781" t="s">
        <v>1177</v>
      </c>
      <c r="V94" s="782" t="s">
        <v>1177</v>
      </c>
      <c r="W94" s="781" t="s">
        <v>140</v>
      </c>
      <c r="X94" s="782" t="s">
        <v>140</v>
      </c>
      <c r="Y94" s="781" t="s">
        <v>140</v>
      </c>
      <c r="Z94" s="782" t="s">
        <v>140</v>
      </c>
      <c r="AA94" s="781" t="s">
        <v>140</v>
      </c>
      <c r="AB94" s="782" t="s">
        <v>140</v>
      </c>
      <c r="AC94" s="781" t="s">
        <v>140</v>
      </c>
      <c r="AD94" s="782" t="s">
        <v>140</v>
      </c>
      <c r="AE94" s="781" t="s">
        <v>140</v>
      </c>
      <c r="AF94" s="782" t="s">
        <v>140</v>
      </c>
      <c r="AG94" s="781" t="s">
        <v>140</v>
      </c>
      <c r="AH94" s="782" t="s">
        <v>140</v>
      </c>
      <c r="AI94" s="781" t="s">
        <v>140</v>
      </c>
      <c r="AJ94" s="783" t="s">
        <v>140</v>
      </c>
      <c r="AK94" s="783" t="s">
        <v>140</v>
      </c>
      <c r="AL94" s="783" t="s">
        <v>140</v>
      </c>
      <c r="AM94" s="783" t="s">
        <v>140</v>
      </c>
      <c r="AN94" s="177"/>
    </row>
    <row r="95" spans="1:40">
      <c r="A95" s="763">
        <v>80</v>
      </c>
      <c r="B95" s="764">
        <v>5</v>
      </c>
      <c r="C95" s="776" t="s">
        <v>1475</v>
      </c>
      <c r="D95" s="777" t="s">
        <v>1476</v>
      </c>
      <c r="E95" s="778" t="s">
        <v>1217</v>
      </c>
      <c r="F95" s="777" t="s">
        <v>248</v>
      </c>
      <c r="G95" s="778">
        <v>33763</v>
      </c>
      <c r="H95" s="777" t="s">
        <v>1476</v>
      </c>
      <c r="I95" s="778" t="s">
        <v>1217</v>
      </c>
      <c r="J95" s="777" t="s">
        <v>248</v>
      </c>
      <c r="K95" s="778" t="s">
        <v>1173</v>
      </c>
      <c r="L95" s="777">
        <v>33763</v>
      </c>
      <c r="M95" s="778" t="s">
        <v>1477</v>
      </c>
      <c r="N95" s="779" t="s">
        <v>1478</v>
      </c>
      <c r="O95" s="778" t="s">
        <v>1479</v>
      </c>
      <c r="P95" s="777" t="s">
        <v>1480</v>
      </c>
      <c r="Q95" s="834" t="s">
        <v>140</v>
      </c>
      <c r="R95" s="782" t="s">
        <v>140</v>
      </c>
      <c r="S95" s="781" t="s">
        <v>140</v>
      </c>
      <c r="T95" s="782" t="s">
        <v>1177</v>
      </c>
      <c r="U95" s="781" t="s">
        <v>1177</v>
      </c>
      <c r="V95" s="782" t="s">
        <v>1177</v>
      </c>
      <c r="W95" s="781" t="s">
        <v>140</v>
      </c>
      <c r="X95" s="782" t="s">
        <v>140</v>
      </c>
      <c r="Y95" s="781" t="s">
        <v>140</v>
      </c>
      <c r="Z95" s="782" t="s">
        <v>140</v>
      </c>
      <c r="AA95" s="781" t="s">
        <v>140</v>
      </c>
      <c r="AB95" s="782" t="s">
        <v>140</v>
      </c>
      <c r="AC95" s="781" t="s">
        <v>140</v>
      </c>
      <c r="AD95" s="782" t="s">
        <v>140</v>
      </c>
      <c r="AE95" s="781" t="s">
        <v>140</v>
      </c>
      <c r="AF95" s="782" t="s">
        <v>140</v>
      </c>
      <c r="AG95" s="781" t="s">
        <v>140</v>
      </c>
      <c r="AH95" s="782" t="s">
        <v>140</v>
      </c>
      <c r="AI95" s="781" t="s">
        <v>140</v>
      </c>
      <c r="AJ95" s="783" t="s">
        <v>140</v>
      </c>
      <c r="AK95" s="783" t="s">
        <v>140</v>
      </c>
      <c r="AL95" s="783" t="s">
        <v>140</v>
      </c>
      <c r="AM95" s="783" t="s">
        <v>140</v>
      </c>
      <c r="AN95" s="177"/>
    </row>
    <row r="96" spans="1:40">
      <c r="A96" s="763">
        <v>81</v>
      </c>
      <c r="B96" s="764">
        <v>5</v>
      </c>
      <c r="C96" s="765" t="s">
        <v>1481</v>
      </c>
      <c r="D96" s="766" t="s">
        <v>1482</v>
      </c>
      <c r="E96" s="767" t="s">
        <v>1296</v>
      </c>
      <c r="F96" s="766" t="s">
        <v>136</v>
      </c>
      <c r="G96" s="767">
        <v>34652</v>
      </c>
      <c r="H96" s="766" t="s">
        <v>1482</v>
      </c>
      <c r="I96" s="767" t="s">
        <v>1296</v>
      </c>
      <c r="J96" s="766" t="s">
        <v>136</v>
      </c>
      <c r="K96" s="767" t="s">
        <v>136</v>
      </c>
      <c r="L96" s="766">
        <v>34652</v>
      </c>
      <c r="M96" s="767" t="s">
        <v>1483</v>
      </c>
      <c r="N96" s="768" t="s">
        <v>1484</v>
      </c>
      <c r="O96" s="767" t="s">
        <v>1485</v>
      </c>
      <c r="P96" s="766" t="s">
        <v>1486</v>
      </c>
      <c r="Q96" s="833"/>
      <c r="R96" s="771"/>
      <c r="S96" s="770"/>
      <c r="T96" s="771" t="s">
        <v>1177</v>
      </c>
      <c r="U96" s="770" t="s">
        <v>1177</v>
      </c>
      <c r="V96" s="771" t="s">
        <v>1177</v>
      </c>
      <c r="W96" s="770"/>
      <c r="X96" s="771"/>
      <c r="Y96" s="770"/>
      <c r="Z96" s="771"/>
      <c r="AA96" s="770"/>
      <c r="AB96" s="771"/>
      <c r="AC96" s="770"/>
      <c r="AD96" s="771"/>
      <c r="AE96" s="770"/>
      <c r="AF96" s="771"/>
      <c r="AG96" s="770"/>
      <c r="AH96" s="771"/>
      <c r="AI96" s="770"/>
      <c r="AJ96" s="773"/>
      <c r="AK96" s="773"/>
      <c r="AL96" s="773"/>
      <c r="AM96" s="773"/>
      <c r="AN96" s="177"/>
    </row>
    <row r="97" spans="1:40">
      <c r="A97" s="763">
        <v>82</v>
      </c>
      <c r="B97" s="764">
        <v>5</v>
      </c>
      <c r="C97" s="765" t="s">
        <v>1481</v>
      </c>
      <c r="D97" s="766" t="s">
        <v>1482</v>
      </c>
      <c r="E97" s="767" t="s">
        <v>1296</v>
      </c>
      <c r="F97" s="766" t="s">
        <v>136</v>
      </c>
      <c r="G97" s="767">
        <v>34652</v>
      </c>
      <c r="H97" s="766" t="s">
        <v>1482</v>
      </c>
      <c r="I97" s="767" t="s">
        <v>1296</v>
      </c>
      <c r="J97" s="766" t="s">
        <v>136</v>
      </c>
      <c r="K97" s="767" t="s">
        <v>1173</v>
      </c>
      <c r="L97" s="766">
        <v>34652</v>
      </c>
      <c r="M97" s="767" t="s">
        <v>1483</v>
      </c>
      <c r="N97" s="768" t="s">
        <v>1484</v>
      </c>
      <c r="O97" s="767" t="s">
        <v>1485</v>
      </c>
      <c r="P97" s="766" t="s">
        <v>1486</v>
      </c>
      <c r="Q97" s="833"/>
      <c r="R97" s="771"/>
      <c r="S97" s="770"/>
      <c r="T97" s="771" t="s">
        <v>1177</v>
      </c>
      <c r="U97" s="770" t="s">
        <v>1177</v>
      </c>
      <c r="V97" s="771" t="s">
        <v>1177</v>
      </c>
      <c r="W97" s="770"/>
      <c r="X97" s="771"/>
      <c r="Y97" s="770"/>
      <c r="Z97" s="771"/>
      <c r="AA97" s="770"/>
      <c r="AB97" s="771"/>
      <c r="AC97" s="770"/>
      <c r="AD97" s="771"/>
      <c r="AE97" s="770"/>
      <c r="AF97" s="771"/>
      <c r="AG97" s="770"/>
      <c r="AH97" s="771"/>
      <c r="AI97" s="770"/>
      <c r="AJ97" s="773"/>
      <c r="AK97" s="773"/>
      <c r="AL97" s="773"/>
      <c r="AM97" s="773"/>
      <c r="AN97" s="177"/>
    </row>
    <row r="98" spans="1:40">
      <c r="A98" s="763">
        <v>83</v>
      </c>
      <c r="B98" s="764">
        <v>5</v>
      </c>
      <c r="C98" s="765" t="s">
        <v>1487</v>
      </c>
      <c r="D98" s="766" t="s">
        <v>1488</v>
      </c>
      <c r="E98" s="767" t="s">
        <v>1210</v>
      </c>
      <c r="F98" s="766" t="s">
        <v>248</v>
      </c>
      <c r="G98" s="767">
        <v>33702</v>
      </c>
      <c r="H98" s="766" t="s">
        <v>1488</v>
      </c>
      <c r="I98" s="767" t="s">
        <v>1210</v>
      </c>
      <c r="J98" s="766" t="s">
        <v>1173</v>
      </c>
      <c r="K98" s="767" t="s">
        <v>1173</v>
      </c>
      <c r="L98" s="766">
        <v>33760</v>
      </c>
      <c r="M98" s="767" t="s">
        <v>1489</v>
      </c>
      <c r="N98" s="768" t="s">
        <v>1490</v>
      </c>
      <c r="O98" s="767" t="s">
        <v>1491</v>
      </c>
      <c r="P98" s="766" t="s">
        <v>1491</v>
      </c>
      <c r="Q98" s="833" t="s">
        <v>140</v>
      </c>
      <c r="R98" s="771" t="s">
        <v>140</v>
      </c>
      <c r="S98" s="770" t="s">
        <v>140</v>
      </c>
      <c r="T98" s="771" t="s">
        <v>1177</v>
      </c>
      <c r="U98" s="770" t="s">
        <v>1177</v>
      </c>
      <c r="V98" s="771" t="s">
        <v>1177</v>
      </c>
      <c r="W98" s="770" t="s">
        <v>140</v>
      </c>
      <c r="X98" s="771" t="s">
        <v>140</v>
      </c>
      <c r="Y98" s="770" t="s">
        <v>140</v>
      </c>
      <c r="Z98" s="771" t="s">
        <v>140</v>
      </c>
      <c r="AA98" s="770" t="s">
        <v>140</v>
      </c>
      <c r="AB98" s="771" t="s">
        <v>140</v>
      </c>
      <c r="AC98" s="770" t="s">
        <v>140</v>
      </c>
      <c r="AD98" s="771" t="s">
        <v>140</v>
      </c>
      <c r="AE98" s="770" t="s">
        <v>140</v>
      </c>
      <c r="AF98" s="771" t="s">
        <v>140</v>
      </c>
      <c r="AG98" s="770" t="s">
        <v>140</v>
      </c>
      <c r="AH98" s="771" t="s">
        <v>140</v>
      </c>
      <c r="AI98" s="770" t="s">
        <v>140</v>
      </c>
      <c r="AJ98" s="773" t="s">
        <v>140</v>
      </c>
      <c r="AK98" s="773" t="s">
        <v>140</v>
      </c>
      <c r="AL98" s="773" t="s">
        <v>140</v>
      </c>
      <c r="AM98" s="773" t="s">
        <v>140</v>
      </c>
      <c r="AN98" s="177"/>
    </row>
    <row r="99" spans="1:40">
      <c r="A99" s="763">
        <v>84</v>
      </c>
      <c r="B99" s="764">
        <v>5</v>
      </c>
      <c r="C99" s="765" t="s">
        <v>1492</v>
      </c>
      <c r="D99" s="766" t="s">
        <v>1493</v>
      </c>
      <c r="E99" s="767" t="s">
        <v>1302</v>
      </c>
      <c r="F99" s="766" t="s">
        <v>136</v>
      </c>
      <c r="G99" s="767">
        <v>33558</v>
      </c>
      <c r="H99" s="766" t="s">
        <v>1493</v>
      </c>
      <c r="I99" s="767" t="s">
        <v>1302</v>
      </c>
      <c r="J99" s="766" t="s">
        <v>136</v>
      </c>
      <c r="K99" s="767" t="s">
        <v>1173</v>
      </c>
      <c r="L99" s="766">
        <v>33558</v>
      </c>
      <c r="M99" s="767" t="s">
        <v>1494</v>
      </c>
      <c r="N99" s="768" t="s">
        <v>1495</v>
      </c>
      <c r="O99" s="767"/>
      <c r="P99" s="766" t="s">
        <v>1496</v>
      </c>
      <c r="Q99" s="833"/>
      <c r="R99" s="771"/>
      <c r="S99" s="770"/>
      <c r="T99" s="771" t="s">
        <v>1177</v>
      </c>
      <c r="U99" s="770" t="s">
        <v>1177</v>
      </c>
      <c r="V99" s="771" t="s">
        <v>1177</v>
      </c>
      <c r="W99" s="770"/>
      <c r="X99" s="771" t="s">
        <v>1177</v>
      </c>
      <c r="Y99" s="770"/>
      <c r="Z99" s="771"/>
      <c r="AA99" s="770"/>
      <c r="AB99" s="771"/>
      <c r="AC99" s="770"/>
      <c r="AD99" s="771"/>
      <c r="AE99" s="770"/>
      <c r="AF99" s="771"/>
      <c r="AG99" s="770"/>
      <c r="AH99" s="771"/>
      <c r="AI99" s="770"/>
      <c r="AJ99" s="773"/>
      <c r="AK99" s="773"/>
      <c r="AL99" s="773"/>
      <c r="AM99" s="773"/>
      <c r="AN99" s="177"/>
    </row>
    <row r="100" spans="1:40">
      <c r="A100" s="763">
        <v>85</v>
      </c>
      <c r="B100" s="764">
        <v>5</v>
      </c>
      <c r="C100" s="765" t="s">
        <v>1492</v>
      </c>
      <c r="D100" s="766" t="s">
        <v>1493</v>
      </c>
      <c r="E100" s="767" t="s">
        <v>1302</v>
      </c>
      <c r="F100" s="766" t="s">
        <v>136</v>
      </c>
      <c r="G100" s="767">
        <v>33558</v>
      </c>
      <c r="H100" s="766" t="s">
        <v>1493</v>
      </c>
      <c r="I100" s="767" t="s">
        <v>1302</v>
      </c>
      <c r="J100" s="766" t="s">
        <v>136</v>
      </c>
      <c r="K100" s="767" t="s">
        <v>1220</v>
      </c>
      <c r="L100" s="766">
        <v>33558</v>
      </c>
      <c r="M100" s="767" t="s">
        <v>1494</v>
      </c>
      <c r="N100" s="768" t="s">
        <v>1495</v>
      </c>
      <c r="O100" s="767"/>
      <c r="P100" s="766" t="s">
        <v>1496</v>
      </c>
      <c r="Q100" s="833"/>
      <c r="R100" s="771"/>
      <c r="S100" s="770"/>
      <c r="T100" s="771" t="s">
        <v>1177</v>
      </c>
      <c r="U100" s="770" t="s">
        <v>1177</v>
      </c>
      <c r="V100" s="771" t="s">
        <v>1177</v>
      </c>
      <c r="W100" s="770"/>
      <c r="X100" s="771" t="s">
        <v>1177</v>
      </c>
      <c r="Y100" s="770"/>
      <c r="Z100" s="771"/>
      <c r="AA100" s="770"/>
      <c r="AB100" s="771"/>
      <c r="AC100" s="770"/>
      <c r="AD100" s="771"/>
      <c r="AE100" s="770"/>
      <c r="AF100" s="771"/>
      <c r="AG100" s="770"/>
      <c r="AH100" s="771"/>
      <c r="AI100" s="770"/>
      <c r="AJ100" s="773"/>
      <c r="AK100" s="773"/>
      <c r="AL100" s="773"/>
      <c r="AM100" s="773"/>
      <c r="AN100" s="177"/>
    </row>
    <row r="101" spans="1:40">
      <c r="A101" s="763">
        <v>86</v>
      </c>
      <c r="B101" s="775">
        <v>5</v>
      </c>
      <c r="C101" s="776" t="s">
        <v>1497</v>
      </c>
      <c r="D101" s="777" t="s">
        <v>1498</v>
      </c>
      <c r="E101" s="778" t="s">
        <v>1368</v>
      </c>
      <c r="F101" s="777" t="s">
        <v>136</v>
      </c>
      <c r="G101" s="778">
        <v>34669</v>
      </c>
      <c r="H101" s="777" t="s">
        <v>1499</v>
      </c>
      <c r="I101" s="778" t="s">
        <v>1368</v>
      </c>
      <c r="J101" s="777" t="s">
        <v>136</v>
      </c>
      <c r="K101" s="778" t="s">
        <v>1173</v>
      </c>
      <c r="L101" s="777">
        <v>34669</v>
      </c>
      <c r="M101" s="778" t="s">
        <v>1500</v>
      </c>
      <c r="N101" s="779" t="s">
        <v>1501</v>
      </c>
      <c r="O101" s="778" t="s">
        <v>1502</v>
      </c>
      <c r="P101" s="777" t="s">
        <v>1502</v>
      </c>
      <c r="Q101" s="834" t="s">
        <v>140</v>
      </c>
      <c r="R101" s="782" t="s">
        <v>140</v>
      </c>
      <c r="S101" s="781" t="s">
        <v>140</v>
      </c>
      <c r="T101" s="782" t="s">
        <v>1177</v>
      </c>
      <c r="U101" s="781" t="s">
        <v>1177</v>
      </c>
      <c r="V101" s="782" t="s">
        <v>1177</v>
      </c>
      <c r="W101" s="781" t="s">
        <v>140</v>
      </c>
      <c r="X101" s="782" t="s">
        <v>140</v>
      </c>
      <c r="Y101" s="781" t="s">
        <v>140</v>
      </c>
      <c r="Z101" s="782" t="s">
        <v>140</v>
      </c>
      <c r="AA101" s="781" t="s">
        <v>140</v>
      </c>
      <c r="AB101" s="782" t="s">
        <v>140</v>
      </c>
      <c r="AC101" s="781" t="s">
        <v>140</v>
      </c>
      <c r="AD101" s="782" t="s">
        <v>140</v>
      </c>
      <c r="AE101" s="781" t="s">
        <v>140</v>
      </c>
      <c r="AF101" s="782" t="s">
        <v>140</v>
      </c>
      <c r="AG101" s="781" t="s">
        <v>140</v>
      </c>
      <c r="AH101" s="782" t="s">
        <v>140</v>
      </c>
      <c r="AI101" s="781" t="s">
        <v>140</v>
      </c>
      <c r="AJ101" s="783" t="s">
        <v>140</v>
      </c>
      <c r="AK101" s="783" t="s">
        <v>140</v>
      </c>
      <c r="AL101" s="783" t="s">
        <v>140</v>
      </c>
      <c r="AM101" s="783" t="s">
        <v>140</v>
      </c>
      <c r="AN101" s="177"/>
    </row>
    <row r="102" spans="1:40">
      <c r="A102" s="763">
        <v>87</v>
      </c>
      <c r="B102" s="775">
        <v>5</v>
      </c>
      <c r="C102" s="776" t="s">
        <v>1497</v>
      </c>
      <c r="D102" s="777" t="s">
        <v>1498</v>
      </c>
      <c r="E102" s="778" t="s">
        <v>1368</v>
      </c>
      <c r="F102" s="777" t="s">
        <v>136</v>
      </c>
      <c r="G102" s="778">
        <v>34669</v>
      </c>
      <c r="H102" s="777" t="s">
        <v>1499</v>
      </c>
      <c r="I102" s="778" t="s">
        <v>1368</v>
      </c>
      <c r="J102" s="777" t="s">
        <v>136</v>
      </c>
      <c r="K102" s="778" t="s">
        <v>1220</v>
      </c>
      <c r="L102" s="777">
        <v>34669</v>
      </c>
      <c r="M102" s="778" t="s">
        <v>1500</v>
      </c>
      <c r="N102" s="779" t="s">
        <v>1501</v>
      </c>
      <c r="O102" s="778" t="s">
        <v>1502</v>
      </c>
      <c r="P102" s="777" t="s">
        <v>1502</v>
      </c>
      <c r="Q102" s="834" t="s">
        <v>140</v>
      </c>
      <c r="R102" s="782" t="s">
        <v>140</v>
      </c>
      <c r="S102" s="781" t="s">
        <v>140</v>
      </c>
      <c r="T102" s="782" t="s">
        <v>1177</v>
      </c>
      <c r="U102" s="781" t="s">
        <v>1177</v>
      </c>
      <c r="V102" s="782" t="s">
        <v>1177</v>
      </c>
      <c r="W102" s="781" t="s">
        <v>140</v>
      </c>
      <c r="X102" s="782" t="s">
        <v>140</v>
      </c>
      <c r="Y102" s="781" t="s">
        <v>140</v>
      </c>
      <c r="Z102" s="782" t="s">
        <v>140</v>
      </c>
      <c r="AA102" s="781" t="s">
        <v>140</v>
      </c>
      <c r="AB102" s="782" t="s">
        <v>140</v>
      </c>
      <c r="AC102" s="781" t="s">
        <v>140</v>
      </c>
      <c r="AD102" s="782" t="s">
        <v>140</v>
      </c>
      <c r="AE102" s="781" t="s">
        <v>140</v>
      </c>
      <c r="AF102" s="782" t="s">
        <v>140</v>
      </c>
      <c r="AG102" s="781" t="s">
        <v>140</v>
      </c>
      <c r="AH102" s="782" t="s">
        <v>140</v>
      </c>
      <c r="AI102" s="781" t="s">
        <v>140</v>
      </c>
      <c r="AJ102" s="783" t="s">
        <v>140</v>
      </c>
      <c r="AK102" s="783" t="s">
        <v>140</v>
      </c>
      <c r="AL102" s="783" t="s">
        <v>140</v>
      </c>
      <c r="AM102" s="783" t="s">
        <v>140</v>
      </c>
      <c r="AN102" s="177"/>
    </row>
    <row r="103" spans="1:40">
      <c r="A103" s="763">
        <v>88</v>
      </c>
      <c r="B103" s="775">
        <v>5</v>
      </c>
      <c r="C103" s="776" t="s">
        <v>1503</v>
      </c>
      <c r="D103" s="777" t="s">
        <v>1504</v>
      </c>
      <c r="E103" s="778" t="s">
        <v>1505</v>
      </c>
      <c r="F103" s="777" t="s">
        <v>1506</v>
      </c>
      <c r="G103" s="778">
        <v>34110</v>
      </c>
      <c r="H103" s="777" t="s">
        <v>1504</v>
      </c>
      <c r="I103" s="778" t="s">
        <v>1505</v>
      </c>
      <c r="J103" s="777" t="s">
        <v>1506</v>
      </c>
      <c r="K103" s="778" t="s">
        <v>1173</v>
      </c>
      <c r="L103" s="777">
        <v>34110</v>
      </c>
      <c r="M103" s="778" t="s">
        <v>1507</v>
      </c>
      <c r="N103" s="779" t="s">
        <v>1508</v>
      </c>
      <c r="O103" s="778" t="s">
        <v>1509</v>
      </c>
      <c r="P103" s="777" t="s">
        <v>1509</v>
      </c>
      <c r="Q103" s="834" t="s">
        <v>140</v>
      </c>
      <c r="R103" s="782" t="s">
        <v>140</v>
      </c>
      <c r="S103" s="781" t="s">
        <v>140</v>
      </c>
      <c r="T103" s="782" t="s">
        <v>1177</v>
      </c>
      <c r="U103" s="781" t="s">
        <v>1177</v>
      </c>
      <c r="V103" s="782" t="s">
        <v>1177</v>
      </c>
      <c r="W103" s="781" t="s">
        <v>140</v>
      </c>
      <c r="X103" s="782" t="s">
        <v>1177</v>
      </c>
      <c r="Y103" s="781" t="s">
        <v>140</v>
      </c>
      <c r="Z103" s="782" t="s">
        <v>140</v>
      </c>
      <c r="AA103" s="781" t="s">
        <v>140</v>
      </c>
      <c r="AB103" s="782" t="s">
        <v>140</v>
      </c>
      <c r="AC103" s="781" t="s">
        <v>140</v>
      </c>
      <c r="AD103" s="782" t="s">
        <v>140</v>
      </c>
      <c r="AE103" s="781" t="s">
        <v>140</v>
      </c>
      <c r="AF103" s="782" t="s">
        <v>140</v>
      </c>
      <c r="AG103" s="781" t="s">
        <v>140</v>
      </c>
      <c r="AH103" s="782" t="s">
        <v>140</v>
      </c>
      <c r="AI103" s="781" t="s">
        <v>140</v>
      </c>
      <c r="AJ103" s="783" t="s">
        <v>140</v>
      </c>
      <c r="AK103" s="783" t="s">
        <v>140</v>
      </c>
      <c r="AL103" s="783" t="s">
        <v>140</v>
      </c>
      <c r="AM103" s="783" t="s">
        <v>140</v>
      </c>
      <c r="AN103" s="177"/>
    </row>
    <row r="104" spans="1:40">
      <c r="A104" s="763">
        <v>89</v>
      </c>
      <c r="B104" s="764">
        <v>5</v>
      </c>
      <c r="C104" s="765" t="s">
        <v>1503</v>
      </c>
      <c r="D104" s="777" t="s">
        <v>1504</v>
      </c>
      <c r="E104" s="767" t="s">
        <v>1505</v>
      </c>
      <c r="F104" s="766" t="s">
        <v>1506</v>
      </c>
      <c r="G104" s="767">
        <v>34110</v>
      </c>
      <c r="H104" s="777" t="s">
        <v>1504</v>
      </c>
      <c r="I104" s="767" t="s">
        <v>1505</v>
      </c>
      <c r="J104" s="766" t="s">
        <v>1506</v>
      </c>
      <c r="K104" s="767" t="s">
        <v>136</v>
      </c>
      <c r="L104" s="766">
        <v>34110</v>
      </c>
      <c r="M104" s="767" t="s">
        <v>1507</v>
      </c>
      <c r="N104" s="768" t="s">
        <v>1508</v>
      </c>
      <c r="O104" s="767" t="s">
        <v>1509</v>
      </c>
      <c r="P104" s="766" t="s">
        <v>1509</v>
      </c>
      <c r="Q104" s="833" t="s">
        <v>140</v>
      </c>
      <c r="R104" s="771" t="s">
        <v>140</v>
      </c>
      <c r="S104" s="770" t="s">
        <v>140</v>
      </c>
      <c r="T104" s="771" t="s">
        <v>1177</v>
      </c>
      <c r="U104" s="770" t="s">
        <v>1177</v>
      </c>
      <c r="V104" s="771" t="s">
        <v>1177</v>
      </c>
      <c r="W104" s="770" t="s">
        <v>140</v>
      </c>
      <c r="X104" s="771" t="s">
        <v>1177</v>
      </c>
      <c r="Y104" s="770" t="s">
        <v>140</v>
      </c>
      <c r="Z104" s="771" t="s">
        <v>140</v>
      </c>
      <c r="AA104" s="770" t="s">
        <v>140</v>
      </c>
      <c r="AB104" s="771" t="s">
        <v>140</v>
      </c>
      <c r="AC104" s="770" t="s">
        <v>140</v>
      </c>
      <c r="AD104" s="771" t="s">
        <v>140</v>
      </c>
      <c r="AE104" s="770" t="s">
        <v>140</v>
      </c>
      <c r="AF104" s="771" t="s">
        <v>140</v>
      </c>
      <c r="AG104" s="770" t="s">
        <v>140</v>
      </c>
      <c r="AH104" s="771" t="s">
        <v>140</v>
      </c>
      <c r="AI104" s="770" t="s">
        <v>140</v>
      </c>
      <c r="AJ104" s="773" t="s">
        <v>140</v>
      </c>
      <c r="AK104" s="773" t="s">
        <v>140</v>
      </c>
      <c r="AL104" s="773" t="s">
        <v>140</v>
      </c>
      <c r="AM104" s="773" t="s">
        <v>140</v>
      </c>
      <c r="AN104" s="177"/>
    </row>
    <row r="105" spans="1:40">
      <c r="A105" s="763">
        <v>90</v>
      </c>
      <c r="B105" s="775">
        <v>5</v>
      </c>
      <c r="C105" s="776" t="s">
        <v>1510</v>
      </c>
      <c r="D105" s="777" t="s">
        <v>1511</v>
      </c>
      <c r="E105" s="778" t="s">
        <v>1512</v>
      </c>
      <c r="F105" s="777" t="s">
        <v>248</v>
      </c>
      <c r="G105" s="778">
        <v>34677</v>
      </c>
      <c r="H105" s="777" t="s">
        <v>1511</v>
      </c>
      <c r="I105" s="778" t="s">
        <v>1512</v>
      </c>
      <c r="J105" s="777" t="s">
        <v>248</v>
      </c>
      <c r="K105" s="778" t="s">
        <v>1173</v>
      </c>
      <c r="L105" s="777">
        <v>34677</v>
      </c>
      <c r="M105" s="778" t="s">
        <v>1513</v>
      </c>
      <c r="N105" s="779" t="s">
        <v>1514</v>
      </c>
      <c r="O105" s="778" t="s">
        <v>1515</v>
      </c>
      <c r="P105" s="777" t="s">
        <v>1515</v>
      </c>
      <c r="Q105" s="834" t="s">
        <v>140</v>
      </c>
      <c r="R105" s="782" t="s">
        <v>140</v>
      </c>
      <c r="S105" s="781" t="s">
        <v>140</v>
      </c>
      <c r="T105" s="782" t="s">
        <v>1177</v>
      </c>
      <c r="U105" s="781" t="s">
        <v>1177</v>
      </c>
      <c r="V105" s="782" t="s">
        <v>1177</v>
      </c>
      <c r="W105" s="781" t="s">
        <v>140</v>
      </c>
      <c r="X105" s="782" t="s">
        <v>140</v>
      </c>
      <c r="Y105" s="781" t="s">
        <v>140</v>
      </c>
      <c r="Z105" s="782" t="s">
        <v>140</v>
      </c>
      <c r="AA105" s="781" t="s">
        <v>140</v>
      </c>
      <c r="AB105" s="782" t="s">
        <v>140</v>
      </c>
      <c r="AC105" s="781" t="s">
        <v>140</v>
      </c>
      <c r="AD105" s="782" t="s">
        <v>140</v>
      </c>
      <c r="AE105" s="781" t="s">
        <v>140</v>
      </c>
      <c r="AF105" s="782" t="s">
        <v>140</v>
      </c>
      <c r="AG105" s="781" t="s">
        <v>140</v>
      </c>
      <c r="AH105" s="782" t="s">
        <v>140</v>
      </c>
      <c r="AI105" s="781" t="s">
        <v>140</v>
      </c>
      <c r="AJ105" s="783" t="s">
        <v>140</v>
      </c>
      <c r="AK105" s="783" t="s">
        <v>140</v>
      </c>
      <c r="AL105" s="783" t="s">
        <v>140</v>
      </c>
      <c r="AM105" s="783" t="s">
        <v>140</v>
      </c>
      <c r="AN105" s="177"/>
    </row>
    <row r="106" spans="1:40">
      <c r="A106" s="763">
        <v>91</v>
      </c>
      <c r="B106" s="775">
        <v>5</v>
      </c>
      <c r="C106" s="776" t="s">
        <v>1510</v>
      </c>
      <c r="D106" s="814" t="s">
        <v>1511</v>
      </c>
      <c r="E106" s="815" t="s">
        <v>1512</v>
      </c>
      <c r="F106" s="814" t="s">
        <v>248</v>
      </c>
      <c r="G106" s="815">
        <v>34677</v>
      </c>
      <c r="H106" s="814" t="s">
        <v>1511</v>
      </c>
      <c r="I106" s="815" t="s">
        <v>1512</v>
      </c>
      <c r="J106" s="814" t="s">
        <v>248</v>
      </c>
      <c r="K106" s="815" t="s">
        <v>136</v>
      </c>
      <c r="L106" s="814">
        <v>34677</v>
      </c>
      <c r="M106" s="815" t="s">
        <v>1513</v>
      </c>
      <c r="N106" s="779" t="s">
        <v>1514</v>
      </c>
      <c r="O106" s="815" t="s">
        <v>1515</v>
      </c>
      <c r="P106" s="814" t="s">
        <v>1515</v>
      </c>
      <c r="Q106" s="834" t="s">
        <v>140</v>
      </c>
      <c r="R106" s="782" t="s">
        <v>140</v>
      </c>
      <c r="S106" s="781" t="s">
        <v>140</v>
      </c>
      <c r="T106" s="782" t="s">
        <v>1177</v>
      </c>
      <c r="U106" s="781" t="s">
        <v>1177</v>
      </c>
      <c r="V106" s="782" t="s">
        <v>1177</v>
      </c>
      <c r="W106" s="781" t="s">
        <v>140</v>
      </c>
      <c r="X106" s="782" t="s">
        <v>140</v>
      </c>
      <c r="Y106" s="781" t="s">
        <v>140</v>
      </c>
      <c r="Z106" s="782" t="s">
        <v>140</v>
      </c>
      <c r="AA106" s="781" t="s">
        <v>140</v>
      </c>
      <c r="AB106" s="782" t="s">
        <v>140</v>
      </c>
      <c r="AC106" s="781" t="s">
        <v>140</v>
      </c>
      <c r="AD106" s="782" t="s">
        <v>140</v>
      </c>
      <c r="AE106" s="781" t="s">
        <v>140</v>
      </c>
      <c r="AF106" s="782" t="s">
        <v>140</v>
      </c>
      <c r="AG106" s="781" t="s">
        <v>140</v>
      </c>
      <c r="AH106" s="782" t="s">
        <v>140</v>
      </c>
      <c r="AI106" s="781" t="s">
        <v>140</v>
      </c>
      <c r="AJ106" s="783" t="s">
        <v>140</v>
      </c>
      <c r="AK106" s="783" t="s">
        <v>140</v>
      </c>
      <c r="AL106" s="783" t="s">
        <v>140</v>
      </c>
      <c r="AM106" s="783" t="s">
        <v>140</v>
      </c>
      <c r="AN106" s="177"/>
    </row>
    <row r="107" spans="1:40">
      <c r="A107" s="763">
        <v>92</v>
      </c>
      <c r="B107" s="790">
        <v>5</v>
      </c>
      <c r="C107" s="791" t="s">
        <v>1516</v>
      </c>
      <c r="D107" s="792" t="s">
        <v>1517</v>
      </c>
      <c r="E107" s="793" t="s">
        <v>1518</v>
      </c>
      <c r="F107" s="792" t="s">
        <v>1438</v>
      </c>
      <c r="G107" s="793">
        <v>33487</v>
      </c>
      <c r="H107" s="792" t="s">
        <v>1519</v>
      </c>
      <c r="I107" s="793" t="s">
        <v>1217</v>
      </c>
      <c r="J107" s="792" t="s">
        <v>248</v>
      </c>
      <c r="K107" s="793" t="s">
        <v>1173</v>
      </c>
      <c r="L107" s="792">
        <v>33759</v>
      </c>
      <c r="M107" s="793" t="s">
        <v>1520</v>
      </c>
      <c r="N107" s="794" t="s">
        <v>1521</v>
      </c>
      <c r="O107" s="793" t="s">
        <v>1522</v>
      </c>
      <c r="P107" s="792" t="s">
        <v>1523</v>
      </c>
      <c r="Q107" s="836"/>
      <c r="R107" s="796"/>
      <c r="S107" s="795"/>
      <c r="T107" s="796" t="s">
        <v>1177</v>
      </c>
      <c r="U107" s="795" t="s">
        <v>1177</v>
      </c>
      <c r="V107" s="796" t="s">
        <v>1177</v>
      </c>
      <c r="W107" s="795"/>
      <c r="X107" s="796" t="s">
        <v>1177</v>
      </c>
      <c r="Y107" s="795"/>
      <c r="Z107" s="796"/>
      <c r="AA107" s="795"/>
      <c r="AB107" s="796"/>
      <c r="AC107" s="795"/>
      <c r="AD107" s="796"/>
      <c r="AE107" s="795"/>
      <c r="AF107" s="796"/>
      <c r="AG107" s="795"/>
      <c r="AH107" s="796"/>
      <c r="AI107" s="795"/>
      <c r="AJ107" s="797"/>
      <c r="AK107" s="798"/>
      <c r="AL107" s="798"/>
      <c r="AM107" s="798"/>
    </row>
    <row r="108" spans="1:40">
      <c r="A108" s="763">
        <v>93</v>
      </c>
      <c r="B108" s="790">
        <v>5</v>
      </c>
      <c r="C108" s="791" t="s">
        <v>1516</v>
      </c>
      <c r="D108" s="792" t="s">
        <v>1517</v>
      </c>
      <c r="E108" s="793" t="s">
        <v>1518</v>
      </c>
      <c r="F108" s="792" t="s">
        <v>1438</v>
      </c>
      <c r="G108" s="793">
        <v>33487</v>
      </c>
      <c r="H108" s="792" t="s">
        <v>1519</v>
      </c>
      <c r="I108" s="793" t="s">
        <v>1217</v>
      </c>
      <c r="J108" s="792" t="s">
        <v>248</v>
      </c>
      <c r="K108" s="793" t="s">
        <v>1220</v>
      </c>
      <c r="L108" s="792">
        <v>33759</v>
      </c>
      <c r="M108" s="793" t="s">
        <v>1520</v>
      </c>
      <c r="N108" s="794" t="s">
        <v>1521</v>
      </c>
      <c r="O108" s="793" t="s">
        <v>1522</v>
      </c>
      <c r="P108" s="792" t="s">
        <v>1523</v>
      </c>
      <c r="Q108" s="836"/>
      <c r="R108" s="796"/>
      <c r="S108" s="795"/>
      <c r="T108" s="796" t="s">
        <v>1177</v>
      </c>
      <c r="U108" s="795" t="s">
        <v>1177</v>
      </c>
      <c r="V108" s="796" t="s">
        <v>1177</v>
      </c>
      <c r="W108" s="795"/>
      <c r="X108" s="796" t="s">
        <v>1177</v>
      </c>
      <c r="Y108" s="795"/>
      <c r="Z108" s="796"/>
      <c r="AA108" s="795"/>
      <c r="AB108" s="796"/>
      <c r="AC108" s="795"/>
      <c r="AD108" s="796"/>
      <c r="AE108" s="795"/>
      <c r="AF108" s="796"/>
      <c r="AG108" s="795"/>
      <c r="AH108" s="796"/>
      <c r="AI108" s="795"/>
      <c r="AJ108" s="797"/>
      <c r="AK108" s="798"/>
      <c r="AL108" s="798"/>
      <c r="AM108" s="798"/>
    </row>
    <row r="109" spans="1:40">
      <c r="A109" s="763">
        <v>94</v>
      </c>
      <c r="B109" s="764">
        <v>5</v>
      </c>
      <c r="C109" s="765" t="s">
        <v>1524</v>
      </c>
      <c r="D109" s="766" t="s">
        <v>1525</v>
      </c>
      <c r="E109" s="767" t="s">
        <v>1526</v>
      </c>
      <c r="F109" s="766" t="s">
        <v>136</v>
      </c>
      <c r="G109" s="767">
        <v>33545</v>
      </c>
      <c r="H109" s="766" t="s">
        <v>1525</v>
      </c>
      <c r="I109" s="767" t="s">
        <v>1526</v>
      </c>
      <c r="J109" s="766" t="s">
        <v>136</v>
      </c>
      <c r="K109" s="767" t="s">
        <v>136</v>
      </c>
      <c r="L109" s="766">
        <v>33545</v>
      </c>
      <c r="M109" s="767" t="s">
        <v>1527</v>
      </c>
      <c r="N109" s="768" t="s">
        <v>1528</v>
      </c>
      <c r="O109" s="767" t="s">
        <v>1529</v>
      </c>
      <c r="P109" s="766" t="s">
        <v>1529</v>
      </c>
      <c r="Q109" s="839" t="s">
        <v>140</v>
      </c>
      <c r="R109" s="817" t="s">
        <v>140</v>
      </c>
      <c r="S109" s="816" t="s">
        <v>140</v>
      </c>
      <c r="T109" s="817" t="s">
        <v>1177</v>
      </c>
      <c r="U109" s="816" t="s">
        <v>1177</v>
      </c>
      <c r="V109" s="817" t="s">
        <v>1177</v>
      </c>
      <c r="W109" s="816" t="s">
        <v>140</v>
      </c>
      <c r="X109" s="817" t="s">
        <v>140</v>
      </c>
      <c r="Y109" s="816" t="s">
        <v>140</v>
      </c>
      <c r="Z109" s="817" t="s">
        <v>140</v>
      </c>
      <c r="AA109" s="816" t="s">
        <v>140</v>
      </c>
      <c r="AB109" s="817" t="s">
        <v>140</v>
      </c>
      <c r="AC109" s="816" t="s">
        <v>140</v>
      </c>
      <c r="AD109" s="817" t="s">
        <v>140</v>
      </c>
      <c r="AE109" s="816" t="s">
        <v>140</v>
      </c>
      <c r="AF109" s="817" t="s">
        <v>140</v>
      </c>
      <c r="AG109" s="816" t="s">
        <v>140</v>
      </c>
      <c r="AH109" s="817" t="s">
        <v>140</v>
      </c>
      <c r="AI109" s="816" t="s">
        <v>140</v>
      </c>
      <c r="AJ109" s="818" t="s">
        <v>140</v>
      </c>
      <c r="AK109" s="819" t="s">
        <v>140</v>
      </c>
      <c r="AL109" s="819" t="s">
        <v>140</v>
      </c>
      <c r="AM109" s="819" t="s">
        <v>140</v>
      </c>
      <c r="AN109" s="177"/>
    </row>
    <row r="110" spans="1:40">
      <c r="A110" s="763">
        <v>95</v>
      </c>
      <c r="B110" s="764">
        <v>5</v>
      </c>
      <c r="C110" s="765" t="s">
        <v>1530</v>
      </c>
      <c r="D110" s="766" t="s">
        <v>1531</v>
      </c>
      <c r="E110" s="767" t="s">
        <v>1210</v>
      </c>
      <c r="F110" s="766" t="s">
        <v>248</v>
      </c>
      <c r="G110" s="767">
        <v>33714</v>
      </c>
      <c r="H110" s="766" t="s">
        <v>1531</v>
      </c>
      <c r="I110" s="767" t="s">
        <v>1210</v>
      </c>
      <c r="J110" s="766" t="s">
        <v>1173</v>
      </c>
      <c r="K110" s="767" t="s">
        <v>1173</v>
      </c>
      <c r="L110" s="766">
        <v>33714</v>
      </c>
      <c r="M110" s="767" t="s">
        <v>1532</v>
      </c>
      <c r="N110" s="768" t="s">
        <v>1533</v>
      </c>
      <c r="O110" s="767" t="s">
        <v>1534</v>
      </c>
      <c r="P110" s="766" t="s">
        <v>1534</v>
      </c>
      <c r="Q110" s="833" t="s">
        <v>140</v>
      </c>
      <c r="R110" s="771" t="s">
        <v>140</v>
      </c>
      <c r="S110" s="770" t="s">
        <v>140</v>
      </c>
      <c r="T110" s="771" t="s">
        <v>1177</v>
      </c>
      <c r="U110" s="770" t="s">
        <v>1177</v>
      </c>
      <c r="V110" s="771" t="s">
        <v>1177</v>
      </c>
      <c r="W110" s="770" t="s">
        <v>140</v>
      </c>
      <c r="X110" s="771" t="s">
        <v>140</v>
      </c>
      <c r="Y110" s="770" t="s">
        <v>140</v>
      </c>
      <c r="Z110" s="771" t="s">
        <v>140</v>
      </c>
      <c r="AA110" s="770" t="s">
        <v>140</v>
      </c>
      <c r="AB110" s="771" t="s">
        <v>140</v>
      </c>
      <c r="AC110" s="770" t="s">
        <v>140</v>
      </c>
      <c r="AD110" s="771" t="s">
        <v>140</v>
      </c>
      <c r="AE110" s="770" t="s">
        <v>140</v>
      </c>
      <c r="AF110" s="771" t="s">
        <v>140</v>
      </c>
      <c r="AG110" s="770" t="s">
        <v>140</v>
      </c>
      <c r="AH110" s="771" t="s">
        <v>140</v>
      </c>
      <c r="AI110" s="770" t="s">
        <v>140</v>
      </c>
      <c r="AJ110" s="773" t="s">
        <v>140</v>
      </c>
      <c r="AK110" s="773" t="s">
        <v>140</v>
      </c>
      <c r="AL110" s="773" t="s">
        <v>140</v>
      </c>
      <c r="AM110" s="773" t="s">
        <v>140</v>
      </c>
      <c r="AN110" s="177"/>
    </row>
    <row r="111" spans="1:40">
      <c r="A111" s="763">
        <v>96</v>
      </c>
      <c r="B111" s="764">
        <v>5</v>
      </c>
      <c r="C111" s="765" t="s">
        <v>1530</v>
      </c>
      <c r="D111" s="774" t="s">
        <v>1531</v>
      </c>
      <c r="E111" s="785" t="s">
        <v>1210</v>
      </c>
      <c r="F111" s="774" t="s">
        <v>248</v>
      </c>
      <c r="G111" s="785">
        <v>33714</v>
      </c>
      <c r="H111" s="774" t="s">
        <v>1531</v>
      </c>
      <c r="I111" s="785" t="s">
        <v>1210</v>
      </c>
      <c r="J111" s="774" t="s">
        <v>1173</v>
      </c>
      <c r="K111" s="785" t="s">
        <v>136</v>
      </c>
      <c r="L111" s="774">
        <v>33714</v>
      </c>
      <c r="M111" s="785" t="s">
        <v>1532</v>
      </c>
      <c r="N111" s="786" t="s">
        <v>1533</v>
      </c>
      <c r="O111" s="785" t="s">
        <v>1534</v>
      </c>
      <c r="P111" s="774" t="s">
        <v>1534</v>
      </c>
      <c r="Q111" s="835" t="s">
        <v>140</v>
      </c>
      <c r="R111" s="788" t="s">
        <v>140</v>
      </c>
      <c r="S111" s="787" t="s">
        <v>140</v>
      </c>
      <c r="T111" s="788" t="s">
        <v>1177</v>
      </c>
      <c r="U111" s="787" t="s">
        <v>1177</v>
      </c>
      <c r="V111" s="788" t="s">
        <v>1177</v>
      </c>
      <c r="W111" s="787" t="s">
        <v>140</v>
      </c>
      <c r="X111" s="788" t="s">
        <v>140</v>
      </c>
      <c r="Y111" s="787" t="s">
        <v>140</v>
      </c>
      <c r="Z111" s="788" t="s">
        <v>140</v>
      </c>
      <c r="AA111" s="787" t="s">
        <v>140</v>
      </c>
      <c r="AB111" s="788" t="s">
        <v>140</v>
      </c>
      <c r="AC111" s="787" t="s">
        <v>140</v>
      </c>
      <c r="AD111" s="788" t="s">
        <v>140</v>
      </c>
      <c r="AE111" s="787" t="s">
        <v>140</v>
      </c>
      <c r="AF111" s="788" t="s">
        <v>140</v>
      </c>
      <c r="AG111" s="787" t="s">
        <v>140</v>
      </c>
      <c r="AH111" s="788" t="s">
        <v>140</v>
      </c>
      <c r="AI111" s="787" t="s">
        <v>140</v>
      </c>
      <c r="AJ111" s="789" t="s">
        <v>140</v>
      </c>
      <c r="AK111" s="789" t="s">
        <v>140</v>
      </c>
      <c r="AL111" s="789" t="s">
        <v>140</v>
      </c>
      <c r="AM111" s="789" t="s">
        <v>140</v>
      </c>
      <c r="AN111" s="177"/>
    </row>
    <row r="112" spans="1:40">
      <c r="A112" s="763">
        <v>97</v>
      </c>
      <c r="B112" s="764">
        <v>5</v>
      </c>
      <c r="C112" s="765" t="s">
        <v>1535</v>
      </c>
      <c r="D112" s="820" t="s">
        <v>1536</v>
      </c>
      <c r="E112" s="820" t="s">
        <v>1217</v>
      </c>
      <c r="F112" s="820" t="s">
        <v>248</v>
      </c>
      <c r="G112" s="820">
        <v>33763</v>
      </c>
      <c r="H112" s="820" t="s">
        <v>1536</v>
      </c>
      <c r="I112" s="820" t="s">
        <v>1217</v>
      </c>
      <c r="J112" s="820" t="s">
        <v>1173</v>
      </c>
      <c r="K112" s="820" t="s">
        <v>136</v>
      </c>
      <c r="L112" s="820">
        <v>33763</v>
      </c>
      <c r="M112" s="821" t="s">
        <v>1537</v>
      </c>
      <c r="N112" s="805"/>
      <c r="O112" s="804" t="s">
        <v>1538</v>
      </c>
      <c r="P112" s="803"/>
      <c r="Q112" s="808" t="s">
        <v>140</v>
      </c>
      <c r="R112" s="809" t="s">
        <v>140</v>
      </c>
      <c r="S112" s="809" t="s">
        <v>1177</v>
      </c>
      <c r="T112" s="809"/>
      <c r="U112" s="809"/>
      <c r="V112" s="809"/>
      <c r="W112" s="809" t="s">
        <v>140</v>
      </c>
      <c r="X112" s="809" t="s">
        <v>140</v>
      </c>
      <c r="Y112" s="809" t="s">
        <v>140</v>
      </c>
      <c r="Z112" s="809" t="s">
        <v>140</v>
      </c>
      <c r="AA112" s="809" t="s">
        <v>1177</v>
      </c>
      <c r="AB112" s="809" t="s">
        <v>140</v>
      </c>
      <c r="AC112" s="809" t="s">
        <v>140</v>
      </c>
      <c r="AD112" s="809" t="s">
        <v>140</v>
      </c>
      <c r="AE112" s="809" t="s">
        <v>140</v>
      </c>
      <c r="AF112" s="809" t="s">
        <v>140</v>
      </c>
      <c r="AG112" s="809" t="s">
        <v>140</v>
      </c>
      <c r="AH112" s="809" t="s">
        <v>140</v>
      </c>
      <c r="AI112" s="809" t="s">
        <v>140</v>
      </c>
      <c r="AJ112" s="809" t="s">
        <v>140</v>
      </c>
      <c r="AK112" s="809" t="s">
        <v>140</v>
      </c>
      <c r="AL112" s="809" t="s">
        <v>140</v>
      </c>
      <c r="AM112" s="809" t="s">
        <v>140</v>
      </c>
    </row>
    <row r="113" spans="1:39">
      <c r="A113" s="763">
        <v>98</v>
      </c>
      <c r="B113" s="764">
        <v>5</v>
      </c>
      <c r="C113" s="765" t="s">
        <v>1535</v>
      </c>
      <c r="D113" s="820" t="s">
        <v>1536</v>
      </c>
      <c r="E113" s="820" t="s">
        <v>1217</v>
      </c>
      <c r="F113" s="820" t="s">
        <v>248</v>
      </c>
      <c r="G113" s="820">
        <v>33763</v>
      </c>
      <c r="H113" s="820" t="s">
        <v>1536</v>
      </c>
      <c r="I113" s="820" t="s">
        <v>1217</v>
      </c>
      <c r="J113" s="820" t="s">
        <v>1173</v>
      </c>
      <c r="K113" s="820" t="s">
        <v>1173</v>
      </c>
      <c r="L113" s="820">
        <v>33763</v>
      </c>
      <c r="M113" s="821" t="s">
        <v>1537</v>
      </c>
      <c r="N113" s="822"/>
      <c r="O113" s="804" t="s">
        <v>1538</v>
      </c>
      <c r="P113" s="826"/>
      <c r="Q113" s="808" t="s">
        <v>140</v>
      </c>
      <c r="R113" s="809" t="s">
        <v>140</v>
      </c>
      <c r="S113" s="809" t="s">
        <v>1177</v>
      </c>
      <c r="T113" s="809"/>
      <c r="U113" s="809"/>
      <c r="V113" s="809"/>
      <c r="W113" s="809" t="s">
        <v>140</v>
      </c>
      <c r="X113" s="809" t="s">
        <v>140</v>
      </c>
      <c r="Y113" s="809" t="s">
        <v>140</v>
      </c>
      <c r="Z113" s="809" t="s">
        <v>140</v>
      </c>
      <c r="AA113" s="809" t="s">
        <v>1177</v>
      </c>
      <c r="AB113" s="809" t="s">
        <v>140</v>
      </c>
      <c r="AC113" s="809" t="s">
        <v>140</v>
      </c>
      <c r="AD113" s="809" t="s">
        <v>140</v>
      </c>
      <c r="AE113" s="809" t="s">
        <v>140</v>
      </c>
      <c r="AF113" s="809" t="s">
        <v>140</v>
      </c>
      <c r="AG113" s="809" t="s">
        <v>140</v>
      </c>
      <c r="AH113" s="809" t="s">
        <v>140</v>
      </c>
      <c r="AI113" s="809" t="s">
        <v>140</v>
      </c>
      <c r="AJ113" s="809" t="s">
        <v>140</v>
      </c>
      <c r="AK113" s="809" t="s">
        <v>140</v>
      </c>
      <c r="AL113" s="809" t="s">
        <v>140</v>
      </c>
      <c r="AM113" s="809" t="s">
        <v>140</v>
      </c>
    </row>
  </sheetData>
  <mergeCells count="14">
    <mergeCell ref="A3:I3"/>
    <mergeCell ref="A6:N6"/>
    <mergeCell ref="A5:N5"/>
    <mergeCell ref="A7:N7"/>
    <mergeCell ref="A9:N9"/>
    <mergeCell ref="AG12:AG14"/>
    <mergeCell ref="AI12:AM12"/>
    <mergeCell ref="D11:P11"/>
    <mergeCell ref="Q11:AM11"/>
    <mergeCell ref="D12:F12"/>
    <mergeCell ref="H12:J12"/>
    <mergeCell ref="K12:K13"/>
    <mergeCell ref="R12:T12"/>
    <mergeCell ref="U12:AD12"/>
  </mergeCells>
  <printOptions horizontalCentered="1" verticalCentered="1"/>
  <pageMargins left="0.75" right="0.75" top="1" bottom="1" header="0.5" footer="0.5"/>
  <pageSetup scale="54" orientation="landscape" r:id="rId1"/>
  <headerFooter alignWithMargins="0">
    <oddFooter>&amp;C&amp;"Times New Roman,Regular"Page &amp;P</oddFooter>
  </headerFooter>
  <colBreaks count="3" manualBreakCount="3">
    <brk id="16" max="1048575" man="1"/>
    <brk id="40" max="1048575" man="1"/>
    <brk id="65"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7074A-23E9-43E1-9252-A1D48C760A25}">
  <sheetPr>
    <tabColor theme="9" tint="0.79998168889431442"/>
    <pageSetUpPr fitToPage="1"/>
  </sheetPr>
  <dimension ref="A1:O12"/>
  <sheetViews>
    <sheetView topLeftCell="A9" workbookViewId="0">
      <selection activeCell="A6" sqref="A6:O6"/>
    </sheetView>
  </sheetViews>
  <sheetFormatPr defaultRowHeight="12.75"/>
  <cols>
    <col min="1" max="1" width="19.42578125" customWidth="1"/>
    <col min="2" max="2" width="33.42578125" bestFit="1" customWidth="1"/>
    <col min="3" max="3" width="17.28515625" bestFit="1" customWidth="1"/>
    <col min="4" max="4" width="15.42578125" customWidth="1"/>
    <col min="5" max="5" width="27.5703125" customWidth="1"/>
    <col min="6" max="7" width="16.5703125" customWidth="1"/>
    <col min="8" max="8" width="19.28515625" bestFit="1" customWidth="1"/>
    <col min="9" max="9" width="13" customWidth="1"/>
    <col min="10" max="10" width="17.140625" customWidth="1"/>
  </cols>
  <sheetData>
    <row r="1" spans="1:15" ht="15">
      <c r="A1" s="203" t="s">
        <v>1089</v>
      </c>
      <c r="B1" s="202"/>
      <c r="C1" s="202"/>
      <c r="D1" s="202"/>
      <c r="E1" s="202"/>
      <c r="F1" s="202"/>
      <c r="G1" s="202"/>
      <c r="H1" s="202"/>
      <c r="I1" s="202"/>
      <c r="J1" s="202"/>
      <c r="K1" s="202"/>
      <c r="L1" s="202"/>
      <c r="M1" s="202"/>
      <c r="N1" s="202"/>
      <c r="O1" s="202"/>
    </row>
    <row r="2" spans="1:15">
      <c r="A2" s="188"/>
      <c r="B2" s="188"/>
      <c r="C2" s="188"/>
      <c r="D2" s="188"/>
      <c r="E2" s="188"/>
      <c r="F2" s="188"/>
      <c r="G2" s="188"/>
      <c r="H2" s="188"/>
      <c r="I2" s="188"/>
      <c r="J2" s="188"/>
      <c r="K2" s="188"/>
      <c r="L2" s="188"/>
      <c r="M2" s="188"/>
      <c r="N2" s="188"/>
      <c r="O2" s="188"/>
    </row>
    <row r="3" spans="1:15" ht="18.75">
      <c r="A3" s="1201" t="s">
        <v>1539</v>
      </c>
      <c r="B3" s="1201"/>
      <c r="C3" s="1201"/>
      <c r="D3" s="1201"/>
      <c r="E3" s="1201"/>
      <c r="F3" s="1201"/>
      <c r="G3" s="1201"/>
      <c r="H3" s="1202"/>
      <c r="I3" s="1202"/>
      <c r="J3" s="1202"/>
      <c r="K3" s="202"/>
      <c r="L3" s="202"/>
      <c r="M3" s="202"/>
      <c r="N3" s="202"/>
      <c r="O3" s="202"/>
    </row>
    <row r="4" spans="1:15" ht="15.75">
      <c r="A4" s="240"/>
      <c r="B4" s="240"/>
      <c r="C4" s="240"/>
      <c r="D4" s="240"/>
      <c r="E4" s="240"/>
      <c r="F4" s="240"/>
      <c r="G4" s="240"/>
      <c r="H4" s="239"/>
      <c r="I4" s="239"/>
      <c r="J4" s="239"/>
      <c r="K4" s="202"/>
      <c r="L4" s="202"/>
      <c r="M4" s="202"/>
      <c r="N4" s="202"/>
      <c r="O4" s="202"/>
    </row>
    <row r="5" spans="1:15" ht="49.5" customHeight="1">
      <c r="A5" s="1181" t="s">
        <v>1540</v>
      </c>
      <c r="B5" s="1204"/>
      <c r="C5" s="1204"/>
      <c r="D5" s="1204"/>
      <c r="E5" s="1204"/>
      <c r="F5" s="1204"/>
      <c r="G5" s="1204"/>
      <c r="H5" s="1204"/>
      <c r="I5" s="1204"/>
      <c r="J5" s="1204"/>
      <c r="K5" s="1204"/>
      <c r="L5" s="1204"/>
      <c r="M5" s="1204"/>
      <c r="N5" s="1204"/>
      <c r="O5" s="1204"/>
    </row>
    <row r="6" spans="1:15" ht="124.5" customHeight="1">
      <c r="A6" s="1203" t="s">
        <v>1541</v>
      </c>
      <c r="B6" s="1203"/>
      <c r="C6" s="1203"/>
      <c r="D6" s="1203"/>
      <c r="E6" s="1203"/>
      <c r="F6" s="1203"/>
      <c r="G6" s="1203"/>
      <c r="H6" s="1203"/>
      <c r="I6" s="1203"/>
      <c r="J6" s="1203"/>
      <c r="K6" s="1204"/>
      <c r="L6" s="1204"/>
      <c r="M6" s="1204"/>
      <c r="N6" s="1204"/>
      <c r="O6" s="1204"/>
    </row>
    <row r="9" spans="1:15" ht="90" thickBot="1">
      <c r="A9" s="456" t="s">
        <v>1542</v>
      </c>
      <c r="B9" s="456" t="s">
        <v>1543</v>
      </c>
      <c r="C9" s="456" t="s">
        <v>1544</v>
      </c>
      <c r="D9" s="456" t="s">
        <v>1545</v>
      </c>
      <c r="E9" s="456" t="s">
        <v>1546</v>
      </c>
      <c r="F9" s="456" t="s">
        <v>1547</v>
      </c>
      <c r="G9" s="456" t="s">
        <v>1548</v>
      </c>
      <c r="H9" s="456" t="s">
        <v>1549</v>
      </c>
      <c r="I9" s="456" t="s">
        <v>1550</v>
      </c>
      <c r="J9" s="456" t="s">
        <v>1551</v>
      </c>
      <c r="K9" s="449"/>
    </row>
    <row r="10" spans="1:15" ht="153">
      <c r="A10" s="450" t="s">
        <v>1552</v>
      </c>
      <c r="B10" s="450" t="s">
        <v>1553</v>
      </c>
      <c r="C10" s="450" t="s">
        <v>1554</v>
      </c>
      <c r="D10" s="451">
        <v>46218</v>
      </c>
      <c r="E10" s="452" t="s">
        <v>1555</v>
      </c>
      <c r="F10" s="453">
        <v>46266</v>
      </c>
      <c r="G10" s="452" t="s">
        <v>1556</v>
      </c>
      <c r="H10" s="450" t="s">
        <v>1557</v>
      </c>
      <c r="I10" s="450" t="s">
        <v>1558</v>
      </c>
      <c r="J10" s="450" t="s">
        <v>1558</v>
      </c>
    </row>
    <row r="11" spans="1:15" ht="76.5">
      <c r="A11" s="447" t="s">
        <v>1559</v>
      </c>
      <c r="B11" s="454" t="s">
        <v>1560</v>
      </c>
      <c r="C11" s="447" t="s">
        <v>1554</v>
      </c>
      <c r="D11" s="455">
        <v>46251</v>
      </c>
      <c r="E11" s="454" t="s">
        <v>1555</v>
      </c>
      <c r="F11" s="455">
        <v>46295</v>
      </c>
      <c r="G11" s="454" t="s">
        <v>1561</v>
      </c>
      <c r="H11" s="447" t="s">
        <v>1562</v>
      </c>
      <c r="I11" s="454" t="s">
        <v>1563</v>
      </c>
      <c r="J11" s="454" t="s">
        <v>1563</v>
      </c>
    </row>
    <row r="12" spans="1:15" ht="76.5">
      <c r="A12" s="454" t="s">
        <v>1564</v>
      </c>
      <c r="B12" s="447" t="s">
        <v>1565</v>
      </c>
      <c r="C12" s="447" t="s">
        <v>1566</v>
      </c>
      <c r="D12" s="455">
        <v>46218</v>
      </c>
      <c r="E12" s="454" t="s">
        <v>1567</v>
      </c>
      <c r="F12" s="455">
        <v>46249</v>
      </c>
      <c r="G12" s="457" t="s">
        <v>1568</v>
      </c>
      <c r="H12" s="458">
        <v>46296</v>
      </c>
      <c r="I12" s="454" t="s">
        <v>1563</v>
      </c>
      <c r="J12" s="454" t="s">
        <v>1563</v>
      </c>
    </row>
  </sheetData>
  <mergeCells count="3">
    <mergeCell ref="A3:J3"/>
    <mergeCell ref="A5:O5"/>
    <mergeCell ref="A6:O6"/>
  </mergeCells>
  <pageMargins left="0.7" right="0.7" top="0.75" bottom="0.75" header="0.3" footer="0.3"/>
  <pageSetup paperSize="3" scale="8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2"/>
  <dimension ref="A1:D36"/>
  <sheetViews>
    <sheetView showGridLines="0" topLeftCell="A16" zoomScaleNormal="100" zoomScaleSheetLayoutView="77" workbookViewId="0"/>
  </sheetViews>
  <sheetFormatPr defaultColWidth="9.140625" defaultRowHeight="12.75"/>
  <cols>
    <col min="1" max="1" width="63.7109375" style="203" customWidth="1"/>
    <col min="2" max="2" width="23.42578125" style="203" customWidth="1"/>
    <col min="3" max="16384" width="9.140625" style="203"/>
  </cols>
  <sheetData>
    <row r="1" spans="1:4" s="202" customFormat="1" ht="15">
      <c r="A1" s="203" t="s">
        <v>1089</v>
      </c>
      <c r="C1" s="325" t="s">
        <v>23</v>
      </c>
    </row>
    <row r="2" spans="1:4" s="188" customFormat="1" ht="6" customHeight="1"/>
    <row r="3" spans="1:4" ht="18.75">
      <c r="A3" s="244" t="s">
        <v>1569</v>
      </c>
    </row>
    <row r="4" spans="1:4" ht="9.75" customHeight="1">
      <c r="A4" s="243"/>
    </row>
    <row r="5" spans="1:4" ht="15.75">
      <c r="A5" s="239" t="s">
        <v>1570</v>
      </c>
    </row>
    <row r="6" spans="1:4" ht="84.75" customHeight="1">
      <c r="A6" s="1205" t="s">
        <v>1571</v>
      </c>
      <c r="B6" s="1227"/>
      <c r="C6" s="212"/>
      <c r="D6" s="212"/>
    </row>
    <row r="7" spans="1:4" ht="12" customHeight="1">
      <c r="A7" s="486"/>
      <c r="B7" s="212"/>
      <c r="C7" s="212"/>
      <c r="D7" s="212"/>
    </row>
    <row r="8" spans="1:4" ht="27" customHeight="1">
      <c r="A8" s="242" t="s">
        <v>1572</v>
      </c>
      <c r="B8" s="241" t="s">
        <v>1573</v>
      </c>
      <c r="C8" s="212"/>
      <c r="D8" s="212"/>
    </row>
    <row r="9" spans="1:4" ht="15.95" customHeight="1">
      <c r="A9" s="194"/>
      <c r="B9" s="192"/>
      <c r="C9" s="212"/>
    </row>
    <row r="10" spans="1:4" ht="15.95" customHeight="1">
      <c r="A10" s="209"/>
      <c r="B10" s="207"/>
    </row>
    <row r="11" spans="1:4" ht="15.95" customHeight="1">
      <c r="A11" s="209"/>
      <c r="B11" s="207"/>
    </row>
    <row r="12" spans="1:4" ht="15.95" customHeight="1">
      <c r="A12" s="209"/>
      <c r="B12" s="207"/>
    </row>
    <row r="13" spans="1:4" ht="15.95" customHeight="1">
      <c r="A13" s="209"/>
      <c r="B13" s="207"/>
    </row>
    <row r="14" spans="1:4" ht="15.95" customHeight="1">
      <c r="A14" s="209"/>
      <c r="B14" s="207"/>
    </row>
    <row r="15" spans="1:4" ht="15.95" customHeight="1">
      <c r="A15" s="209"/>
      <c r="B15" s="207"/>
    </row>
    <row r="16" spans="1:4" ht="15.95" customHeight="1">
      <c r="A16" s="209"/>
      <c r="B16" s="207"/>
    </row>
    <row r="17" spans="1:2" ht="15.95" customHeight="1">
      <c r="A17" s="209"/>
      <c r="B17" s="207"/>
    </row>
    <row r="18" spans="1:2" ht="15.95" customHeight="1">
      <c r="A18" s="209"/>
      <c r="B18" s="207"/>
    </row>
    <row r="19" spans="1:2" ht="15.95" customHeight="1">
      <c r="A19" s="209"/>
      <c r="B19" s="207"/>
    </row>
    <row r="20" spans="1:2" ht="15.95" customHeight="1">
      <c r="A20" s="209"/>
      <c r="B20" s="207"/>
    </row>
    <row r="21" spans="1:2" ht="15.95" customHeight="1">
      <c r="A21" s="209"/>
      <c r="B21" s="207"/>
    </row>
    <row r="22" spans="1:2" ht="15.95" customHeight="1">
      <c r="A22" s="209"/>
      <c r="B22" s="207"/>
    </row>
    <row r="23" spans="1:2" ht="15.95" customHeight="1">
      <c r="A23" s="209"/>
      <c r="B23" s="207"/>
    </row>
    <row r="24" spans="1:2" ht="15.95" customHeight="1">
      <c r="A24" s="209"/>
      <c r="B24" s="207"/>
    </row>
    <row r="25" spans="1:2" ht="15.95" customHeight="1">
      <c r="A25" s="209"/>
      <c r="B25" s="207"/>
    </row>
    <row r="26" spans="1:2" ht="15.95" customHeight="1">
      <c r="A26" s="209"/>
      <c r="B26" s="207"/>
    </row>
    <row r="27" spans="1:2" ht="15.95" customHeight="1">
      <c r="A27" s="209"/>
      <c r="B27" s="207"/>
    </row>
    <row r="28" spans="1:2" ht="15.95" customHeight="1">
      <c r="A28" s="209"/>
      <c r="B28" s="207"/>
    </row>
    <row r="29" spans="1:2" ht="15.95" customHeight="1">
      <c r="A29" s="209"/>
      <c r="B29" s="207"/>
    </row>
    <row r="30" spans="1:2" ht="15.95" customHeight="1">
      <c r="A30" s="209"/>
      <c r="B30" s="207"/>
    </row>
    <row r="31" spans="1:2" ht="15.95" customHeight="1">
      <c r="A31" s="206"/>
      <c r="B31" s="204"/>
    </row>
    <row r="32" spans="1:2" ht="15">
      <c r="A32" s="202"/>
    </row>
    <row r="36" spans="1:1" ht="15.75">
      <c r="A36" s="212"/>
    </row>
  </sheetData>
  <mergeCells count="1">
    <mergeCell ref="A6:B6"/>
  </mergeCells>
  <pageMargins left="0.75" right="0.75" top="1" bottom="1" header="0.5" footer="0.5"/>
  <pageSetup scale="85" orientation="portrait" r:id="rId1"/>
  <headerFooter alignWithMargins="0">
    <oddFooter>&amp;C&amp;"Times New Roman,Regular"Page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2347dd6-bd5b-4420-b785-8e03440bdb0e">
      <Terms xmlns="http://schemas.microsoft.com/office/infopath/2007/PartnerControls"/>
    </lcf76f155ced4ddcb4097134ff3c332f>
    <TaxCatchAll xmlns="d01aa806-d2e1-4f32-842f-7f7a8ed585a7" xsi:nil="true"/>
    <SharedWithUsers xmlns="d01aa806-d2e1-4f32-842f-7f7a8ed585a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46108B2472B845B383E662808D4C1C" ma:contentTypeVersion="16" ma:contentTypeDescription="Create a new document." ma:contentTypeScope="" ma:versionID="2069c6807d42c97a03597f0fcfbf9282">
  <xsd:schema xmlns:xsd="http://www.w3.org/2001/XMLSchema" xmlns:xs="http://www.w3.org/2001/XMLSchema" xmlns:p="http://schemas.microsoft.com/office/2006/metadata/properties" xmlns:ns2="72347dd6-bd5b-4420-b785-8e03440bdb0e" xmlns:ns3="d01aa806-d2e1-4f32-842f-7f7a8ed585a7" targetNamespace="http://schemas.microsoft.com/office/2006/metadata/properties" ma:root="true" ma:fieldsID="90c20194138da538cdb057e34b2bb1a9" ns2:_="" ns3:_="">
    <xsd:import namespace="72347dd6-bd5b-4420-b785-8e03440bdb0e"/>
    <xsd:import namespace="d01aa806-d2e1-4f32-842f-7f7a8ed585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347dd6-bd5b-4420-b785-8e03440bdb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878953c-0e80-4e35-853f-d886eb4a40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1aa806-d2e1-4f32-842f-7f7a8ed585a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aa04766-8187-4f2a-920d-e9025b989850}" ma:internalName="TaxCatchAll" ma:showField="CatchAllData" ma:web="d01aa806-d2e1-4f32-842f-7f7a8ed585a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364A4F-554E-48CD-81BC-7EAA9E5BEDB7}"/>
</file>

<file path=customXml/itemProps2.xml><?xml version="1.0" encoding="utf-8"?>
<ds:datastoreItem xmlns:ds="http://schemas.openxmlformats.org/officeDocument/2006/customXml" ds:itemID="{483077D4-8B67-4DD1-846F-49B5380B258F}"/>
</file>

<file path=customXml/itemProps3.xml><?xml version="1.0" encoding="utf-8"?>
<ds:datastoreItem xmlns:ds="http://schemas.openxmlformats.org/officeDocument/2006/customXml" ds:itemID="{1BE3A7BB-0230-4374-9D3F-6EB6E01FE302}"/>
</file>

<file path=docProps/app.xml><?xml version="1.0" encoding="utf-8"?>
<Properties xmlns="http://schemas.openxmlformats.org/officeDocument/2006/extended-properties" xmlns:vt="http://schemas.openxmlformats.org/officeDocument/2006/docPropsVTypes">
  <Application>Microsoft Excel Online</Application>
  <Manager/>
  <Company>DOEA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DOEA.1812</dc:creator>
  <cp:keywords/>
  <dc:description/>
  <cp:lastModifiedBy/>
  <cp:revision/>
  <dcterms:created xsi:type="dcterms:W3CDTF">2003-09-04T16:16:23Z</dcterms:created>
  <dcterms:modified xsi:type="dcterms:W3CDTF">2026-09-10T20:45:56Z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0x0101005E46108B2472B845B383E662808D4C1C</vt:lpwstr>
  </property>
  <property fmtid="{D5CDD505-2E9C-101B-9397-08002B2CF9AE}" pid="3" name="MediaServiceImageTags">
    <vt:lpwstr/>
  </property>
</Properties>
</file>